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麗美\108學年度\圖書館週\"/>
    </mc:Choice>
  </mc:AlternateContent>
  <bookViews>
    <workbookView xWindow="0" yWindow="0" windowWidth="23040" windowHeight="8484" activeTab="1"/>
  </bookViews>
  <sheets>
    <sheet name="清單" sheetId="1" r:id="rId1"/>
    <sheet name="EB" sheetId="2" r:id="rId2"/>
    <sheet name="工作表1" sheetId="3" r:id="rId3"/>
  </sheets>
  <definedNames>
    <definedName name="_xlnm._FilterDatabase" localSheetId="1" hidden="1">EB!$A$2:$AT$143</definedName>
    <definedName name="_xlnm._FilterDatabase" localSheetId="0" hidden="1">清單!$A$2:$AB$381</definedName>
  </definedNames>
  <calcPr calcId="162913"/>
</workbook>
</file>

<file path=xl/calcChain.xml><?xml version="1.0" encoding="utf-8"?>
<calcChain xmlns="http://schemas.openxmlformats.org/spreadsheetml/2006/main">
  <c r="K150" i="1" l="1"/>
  <c r="K21" i="1"/>
  <c r="K263" i="1"/>
  <c r="K23" i="1"/>
  <c r="K277" i="1" l="1"/>
  <c r="K275" i="1"/>
  <c r="K322" i="1"/>
  <c r="K321" i="1"/>
  <c r="K351" i="1"/>
  <c r="K336" i="1"/>
  <c r="K323" i="1"/>
  <c r="K313" i="1"/>
  <c r="K340" i="1"/>
  <c r="K123" i="1"/>
  <c r="K79" i="1"/>
  <c r="K129" i="1"/>
  <c r="K124" i="1"/>
  <c r="K51" i="1"/>
  <c r="K181" i="1"/>
  <c r="K18" i="1"/>
  <c r="K82" i="1"/>
  <c r="K19" i="1"/>
  <c r="K381" i="1"/>
  <c r="K356" i="1"/>
  <c r="K317" i="1"/>
  <c r="K306" i="1"/>
  <c r="K353" i="1"/>
  <c r="K354" i="1"/>
  <c r="K355" i="1"/>
  <c r="K370" i="1"/>
  <c r="K266" i="1"/>
  <c r="K265" i="1"/>
  <c r="K116" i="1"/>
  <c r="K97" i="1"/>
  <c r="K185" i="1"/>
  <c r="K84" i="1"/>
  <c r="K188" i="1"/>
  <c r="K186" i="1"/>
  <c r="K189" i="1"/>
  <c r="K228" i="1"/>
  <c r="K99" i="1"/>
  <c r="K219" i="1"/>
  <c r="K187" i="1"/>
  <c r="K57" i="1"/>
  <c r="K190" i="1"/>
  <c r="K169" i="1"/>
  <c r="K376" i="1"/>
  <c r="K273" i="1"/>
  <c r="K293" i="1"/>
  <c r="K284" i="1"/>
  <c r="K294" i="1"/>
  <c r="K268" i="1"/>
  <c r="K302" i="1"/>
  <c r="K296" i="1"/>
  <c r="K298" i="1"/>
  <c r="K274" i="1"/>
  <c r="K295" i="1"/>
  <c r="K288" i="1"/>
  <c r="K292" i="1"/>
  <c r="K276" i="1"/>
  <c r="K287" i="1"/>
  <c r="K286" i="1"/>
  <c r="K285" i="1"/>
  <c r="K289" i="1"/>
  <c r="K283" i="1"/>
  <c r="K290" i="1"/>
  <c r="K301" i="1"/>
  <c r="K272" i="1"/>
  <c r="K280" i="1"/>
  <c r="K291" i="1"/>
  <c r="K297" i="1"/>
  <c r="K279" i="1"/>
  <c r="K300" i="1"/>
  <c r="K299" i="1"/>
  <c r="K269" i="1"/>
  <c r="K270" i="1"/>
  <c r="K271" i="1"/>
  <c r="K281" i="1"/>
  <c r="K278" i="1"/>
  <c r="K282" i="1"/>
  <c r="K338" i="1"/>
  <c r="K198" i="1"/>
  <c r="K380" i="1"/>
  <c r="K378" i="1"/>
  <c r="K327" i="1"/>
  <c r="K341" i="1"/>
  <c r="K337" i="1"/>
  <c r="K345" i="1"/>
  <c r="K352" i="1"/>
  <c r="K373" i="1"/>
  <c r="K369" i="1"/>
  <c r="K333" i="1"/>
  <c r="K312" i="1"/>
  <c r="K334" i="1"/>
  <c r="K367" i="1"/>
  <c r="K364" i="1"/>
  <c r="K359" i="1"/>
  <c r="K360" i="1"/>
  <c r="K311" i="1"/>
  <c r="K325" i="1"/>
  <c r="K328" i="1"/>
  <c r="K310" i="1"/>
  <c r="K326" i="1"/>
  <c r="K303" i="1"/>
  <c r="K344" i="1"/>
  <c r="K375" i="1"/>
  <c r="K318" i="1"/>
  <c r="K343" i="1"/>
  <c r="K316" i="1"/>
  <c r="K315" i="1"/>
  <c r="K314" i="1"/>
  <c r="K374" i="1"/>
  <c r="K358" i="1"/>
  <c r="K363" i="1"/>
  <c r="K331" i="1"/>
  <c r="K329" i="1"/>
  <c r="K324" i="1"/>
  <c r="K366" i="1"/>
  <c r="K350" i="1"/>
  <c r="K332" i="1"/>
  <c r="K330" i="1"/>
  <c r="K357" i="1"/>
  <c r="K362" i="1"/>
  <c r="K365" i="1"/>
  <c r="K349" i="1"/>
  <c r="K372" i="1"/>
  <c r="K346" i="1"/>
  <c r="K379" i="1"/>
  <c r="K320" i="1"/>
  <c r="K347" i="1"/>
  <c r="K371" i="1"/>
  <c r="K309" i="1"/>
  <c r="K304" i="1"/>
  <c r="K305" i="1"/>
  <c r="K319" i="1"/>
  <c r="K361" i="1"/>
  <c r="K368" i="1"/>
  <c r="K339" i="1"/>
  <c r="K335" i="1"/>
  <c r="K348" i="1"/>
  <c r="K377" i="1"/>
  <c r="K342" i="1"/>
  <c r="K307" i="1"/>
  <c r="K308" i="1"/>
  <c r="K267" i="1"/>
  <c r="K264" i="1"/>
  <c r="K192" i="1"/>
  <c r="K83" i="1"/>
  <c r="K66" i="1"/>
  <c r="K200" i="1"/>
  <c r="K157" i="1"/>
  <c r="K120" i="1"/>
  <c r="K205" i="1"/>
  <c r="K232" i="1"/>
  <c r="K153" i="1"/>
  <c r="K15" i="1"/>
  <c r="K234" i="1"/>
  <c r="K62" i="1"/>
  <c r="K90" i="1"/>
  <c r="K14" i="1"/>
  <c r="K50" i="1"/>
  <c r="K36" i="1"/>
  <c r="K254" i="1"/>
  <c r="K8" i="1"/>
  <c r="K20" i="1"/>
  <c r="K196" i="1"/>
  <c r="K102" i="1"/>
  <c r="K243" i="1"/>
  <c r="K24" i="1"/>
  <c r="K113" i="1"/>
  <c r="K75" i="1"/>
  <c r="K58" i="1"/>
  <c r="K250" i="1"/>
  <c r="K182" i="1"/>
  <c r="K215" i="1"/>
  <c r="K3" i="1"/>
  <c r="K174" i="1"/>
  <c r="K252" i="1"/>
  <c r="K59" i="1"/>
  <c r="K209" i="1"/>
  <c r="K25" i="1"/>
  <c r="K80" i="1"/>
  <c r="K230" i="1"/>
  <c r="K178" i="1"/>
  <c r="K126" i="1"/>
  <c r="K125" i="1"/>
  <c r="K122" i="1"/>
  <c r="K101" i="1"/>
  <c r="K119" i="1"/>
  <c r="K41" i="1"/>
  <c r="K180" i="1"/>
  <c r="K154" i="1"/>
  <c r="K76" i="1"/>
  <c r="K260" i="1"/>
  <c r="K138" i="1"/>
  <c r="K40" i="1"/>
  <c r="K147" i="1"/>
  <c r="K6" i="1"/>
  <c r="K246" i="1"/>
  <c r="K160" i="1"/>
  <c r="K39" i="1"/>
  <c r="K177" i="1"/>
  <c r="K176" i="1"/>
  <c r="K214" i="1"/>
  <c r="K220" i="1"/>
  <c r="K114" i="1"/>
  <c r="K197" i="1"/>
  <c r="K226" i="1"/>
  <c r="K53" i="1"/>
  <c r="K68" i="1"/>
  <c r="K87" i="1"/>
  <c r="K96" i="1"/>
  <c r="K262" i="1"/>
  <c r="K38" i="1"/>
  <c r="K106" i="1"/>
  <c r="K253" i="1"/>
  <c r="K248" i="1"/>
  <c r="K45" i="1"/>
  <c r="K56" i="1"/>
  <c r="K225" i="1"/>
  <c r="K91" i="1"/>
  <c r="K43" i="1"/>
  <c r="K132" i="1"/>
  <c r="K229" i="1"/>
  <c r="K13" i="1"/>
  <c r="K133" i="1"/>
  <c r="K44" i="1"/>
  <c r="K255" i="1"/>
  <c r="K171" i="1"/>
  <c r="K17" i="1"/>
  <c r="K233" i="1"/>
  <c r="K128" i="1"/>
  <c r="K130" i="1"/>
  <c r="K98" i="1"/>
  <c r="K112" i="1"/>
  <c r="K30" i="1"/>
  <c r="K93" i="1"/>
  <c r="K78" i="1"/>
  <c r="K179" i="1"/>
  <c r="K60" i="1"/>
  <c r="K118" i="1"/>
  <c r="K31" i="1"/>
  <c r="K244" i="1"/>
  <c r="K258" i="1"/>
  <c r="K191" i="1"/>
  <c r="K16" i="1"/>
  <c r="K136" i="1"/>
  <c r="K239" i="1"/>
  <c r="K227" i="1"/>
  <c r="K47" i="1"/>
  <c r="K11" i="1"/>
  <c r="K46" i="1"/>
  <c r="K134" i="1"/>
  <c r="K100" i="1"/>
  <c r="K77" i="1"/>
  <c r="K194" i="1"/>
  <c r="K204" i="1"/>
  <c r="K203" i="1"/>
  <c r="K7" i="1"/>
  <c r="K213" i="1"/>
  <c r="K74" i="1"/>
  <c r="K111" i="1"/>
  <c r="K55" i="1"/>
  <c r="K175" i="1"/>
  <c r="K121" i="1"/>
  <c r="K92" i="1"/>
  <c r="K247" i="1"/>
  <c r="K37" i="1"/>
  <c r="K10" i="1"/>
  <c r="K69" i="1"/>
  <c r="K208" i="1"/>
  <c r="K235" i="1"/>
  <c r="K88" i="1"/>
  <c r="K9" i="1"/>
  <c r="K34" i="1"/>
  <c r="K29" i="1"/>
  <c r="K159" i="1"/>
  <c r="K170" i="1"/>
  <c r="K33" i="1"/>
  <c r="K195" i="1"/>
  <c r="K152" i="1"/>
  <c r="K238" i="1"/>
  <c r="K73" i="1"/>
  <c r="K110" i="1"/>
  <c r="K242" i="1"/>
  <c r="K222" i="1"/>
  <c r="K63" i="1"/>
  <c r="K64" i="1"/>
  <c r="K206" i="1"/>
  <c r="K49" i="1"/>
  <c r="K216" i="1"/>
  <c r="K42" i="1"/>
  <c r="K95" i="1"/>
  <c r="K261" i="1"/>
  <c r="K48" i="1"/>
  <c r="K22" i="1"/>
  <c r="K149" i="1"/>
  <c r="K54" i="1"/>
  <c r="K71" i="1"/>
  <c r="K27" i="1"/>
  <c r="K166" i="1"/>
  <c r="K165" i="1"/>
  <c r="K173" i="1"/>
  <c r="K163" i="1"/>
  <c r="K65" i="1"/>
  <c r="K103" i="1"/>
  <c r="K151" i="1"/>
  <c r="K127" i="1"/>
  <c r="K257" i="1"/>
  <c r="K240" i="1"/>
  <c r="K224" i="1"/>
  <c r="K168" i="1"/>
  <c r="K26" i="1"/>
  <c r="K218" i="1"/>
  <c r="K89" i="1"/>
  <c r="K72" i="1"/>
  <c r="K148" i="1"/>
  <c r="K237" i="1"/>
  <c r="K161" i="1"/>
  <c r="K5" i="1"/>
  <c r="K85" i="1"/>
  <c r="K236" i="1"/>
  <c r="K217" i="1"/>
  <c r="K256" i="1"/>
  <c r="K199" i="1"/>
  <c r="K172" i="1"/>
  <c r="K241" i="1"/>
  <c r="K4" i="1"/>
  <c r="K94" i="1"/>
  <c r="K221" i="1"/>
  <c r="K207" i="1"/>
  <c r="K201" i="1"/>
  <c r="K131" i="1"/>
  <c r="K32" i="1"/>
  <c r="K259" i="1"/>
  <c r="K251" i="1"/>
  <c r="K12" i="1"/>
  <c r="K162" i="1"/>
  <c r="K156" i="1"/>
  <c r="K193" i="1"/>
  <c r="K105" i="1"/>
  <c r="K144" i="1"/>
  <c r="K167" i="1"/>
  <c r="K155" i="1"/>
  <c r="K231" i="1"/>
  <c r="K245" i="1"/>
  <c r="K70" i="1"/>
  <c r="K164" i="1"/>
  <c r="K142" i="1"/>
  <c r="K115" i="1"/>
  <c r="K139" i="1"/>
  <c r="K52" i="1"/>
  <c r="K249" i="1"/>
  <c r="K223" i="1"/>
  <c r="K137" i="1"/>
  <c r="K135" i="1"/>
  <c r="K140" i="1"/>
  <c r="K35" i="1"/>
  <c r="K117" i="1"/>
  <c r="K202" i="1"/>
  <c r="K143" i="1"/>
  <c r="K210" i="1"/>
  <c r="K67" i="1"/>
  <c r="K108" i="1"/>
  <c r="K141" i="1"/>
  <c r="K212" i="1"/>
  <c r="K146" i="1"/>
  <c r="K61" i="1"/>
  <c r="K145" i="1"/>
  <c r="K107" i="1"/>
  <c r="K158" i="1"/>
  <c r="K211" i="1"/>
  <c r="K86" i="1"/>
  <c r="K81" i="1"/>
  <c r="K104" i="1"/>
  <c r="K28" i="1"/>
  <c r="K109" i="1"/>
  <c r="K183" i="1"/>
  <c r="K184" i="1"/>
</calcChain>
</file>

<file path=xl/sharedStrings.xml><?xml version="1.0" encoding="utf-8"?>
<sst xmlns="http://schemas.openxmlformats.org/spreadsheetml/2006/main" count="7582" uniqueCount="3059">
  <si>
    <t>序號</t>
  </si>
  <si>
    <t>MARC格式</t>
  </si>
  <si>
    <t>書名</t>
  </si>
  <si>
    <t>著者</t>
  </si>
  <si>
    <t>出版者</t>
  </si>
  <si>
    <t>書目出版年</t>
  </si>
  <si>
    <t>定長欄年代</t>
  </si>
  <si>
    <t>ISBN</t>
  </si>
  <si>
    <t>館藏地</t>
  </si>
  <si>
    <t>條碼號</t>
  </si>
  <si>
    <t>資料類型</t>
  </si>
  <si>
    <t>分類號</t>
  </si>
  <si>
    <t>著者號</t>
  </si>
  <si>
    <t>年代號</t>
  </si>
  <si>
    <t>部冊號</t>
  </si>
  <si>
    <t>索書號</t>
  </si>
  <si>
    <t>狀態</t>
  </si>
  <si>
    <t>館藏流通類別</t>
  </si>
  <si>
    <t>附件</t>
  </si>
  <si>
    <t>價格</t>
  </si>
  <si>
    <t>典藏名</t>
  </si>
  <si>
    <t>備註</t>
  </si>
  <si>
    <t>館員備註</t>
  </si>
  <si>
    <t>採購備註</t>
  </si>
  <si>
    <t>期刊備註</t>
  </si>
  <si>
    <t>MARC21 - B</t>
  </si>
  <si>
    <t>一起帶冷便當 : 國民媽媽教你輕輕鬆鬆30分鐘，做出粉絲狂讚、美味又健康的每日餐盒 /宜手作(yifang's handmade)著臺北市 : 積木文化, 2019</t>
  </si>
  <si>
    <t>宜手作</t>
  </si>
  <si>
    <t xml:space="preserve">_x001E_積木文化, </t>
  </si>
  <si>
    <t xml:space="preserve">	9789864591718</t>
  </si>
  <si>
    <t>台中總館書庫</t>
  </si>
  <si>
    <t>BOOK</t>
  </si>
  <si>
    <t xml:space="preserve">	3022</t>
  </si>
  <si>
    <t>427.17  3022  2019</t>
  </si>
  <si>
    <t>推薦待取</t>
  </si>
  <si>
    <t>B可借圖書</t>
  </si>
  <si>
    <t>空白</t>
  </si>
  <si>
    <t>8100108A060626;高教深耕計畫(108);L001</t>
  </si>
  <si>
    <t>427.17  1122  2019</t>
  </si>
  <si>
    <t xml:space="preserve">	1122</t>
  </si>
  <si>
    <t xml:space="preserve">	9789576581540</t>
  </si>
  <si>
    <t xml:space="preserve">_x001E_三采文化, </t>
  </si>
  <si>
    <t>Kevin</t>
  </si>
  <si>
    <t>一次做六便當 : 菜單研究所的省時省力、低醣備餐課 /kevin 張凱程著臺北市 : 三采文化, 2019</t>
  </si>
  <si>
    <t>藥膳 : 中國三千年健康料理 / 劉大器著東京都 : 主婦友社, 昭和61</t>
  </si>
  <si>
    <t>劉大器</t>
  </si>
  <si>
    <t xml:space="preserve">_x001E_主婦友社, </t>
  </si>
  <si>
    <t>昭和61</t>
  </si>
  <si>
    <t>台中總館密閉書庫</t>
  </si>
  <si>
    <t xml:space="preserve">	7246</t>
  </si>
  <si>
    <t>418.91  7246</t>
  </si>
  <si>
    <t>在架</t>
  </si>
  <si>
    <t>傅培梅食譜 = 家庭菜編＄d(中國料理 / 傅培梅著作臺北縣 : 傅培梅出版 : 民83</t>
  </si>
  <si>
    <t>傅培梅</t>
  </si>
  <si>
    <t xml:space="preserve">_x001E_傅培梅出版 : </t>
  </si>
  <si>
    <t>民83</t>
  </si>
  <si>
    <t xml:space="preserve">	9579709092</t>
  </si>
  <si>
    <t xml:space="preserve">	2344</t>
  </si>
  <si>
    <t>427.1  2344  1994</t>
  </si>
  <si>
    <t>私房料理 : 跟著名人學做菜 / 張麗君著臺北市 : 葉子出版 : 2005[民94]</t>
  </si>
  <si>
    <t>張麗君</t>
  </si>
  <si>
    <t xml:space="preserve">_x001E_葉子出版 : </t>
  </si>
  <si>
    <t>2005[民94]</t>
  </si>
  <si>
    <t xml:space="preserve">	9867609786</t>
  </si>
  <si>
    <t xml:space="preserve">	1111</t>
  </si>
  <si>
    <t>427  1111  2005</t>
  </si>
  <si>
    <t>81004A0N40;(94);L001</t>
  </si>
  <si>
    <t>婆婆媽媽私房菜 : 露一手創意料理,讓餐桌洋溢異國風! / 呂碧玲等作臺北市 : 臺視文化, 2005[民94]</t>
  </si>
  <si>
    <t>呂碧玲</t>
  </si>
  <si>
    <t xml:space="preserve">_x001E_臺視文化, </t>
  </si>
  <si>
    <t xml:space="preserve">	9575656814</t>
  </si>
  <si>
    <t xml:space="preserve">	6011</t>
  </si>
  <si>
    <t>427.1  6011  2005</t>
  </si>
  <si>
    <t>生機飲食養生餐 : 40道超人氣生機養生料理 / 巧手達人著臺北市 : 尖端出版 : 2005[民94]</t>
  </si>
  <si>
    <t>巧手達人</t>
  </si>
  <si>
    <t xml:space="preserve">_x001E_尖端出版 : </t>
  </si>
  <si>
    <t xml:space="preserve">	9571030856</t>
  </si>
  <si>
    <t xml:space="preserve">	1238</t>
  </si>
  <si>
    <t>427.1  1238  2005</t>
  </si>
  <si>
    <t>地瓜排毒有機餐 = potato health cookbook : 45道超人氣地瓜養生料理 / 張淑琴企劃?文編 ; 黃國燿攝影臺北市 : 尖端, 2005[民94]</t>
  </si>
  <si>
    <t>尖端出版編輯部作</t>
  </si>
  <si>
    <t xml:space="preserve">_x001E_尖端, </t>
  </si>
  <si>
    <t xml:space="preserve">	9571030104</t>
  </si>
  <si>
    <t xml:space="preserve">	1131</t>
  </si>
  <si>
    <t>427.1  1131  2005</t>
  </si>
  <si>
    <t>中日韓泰印法義素料理 / 黃碧雲, 徐茂鑫著臺北市 : 華成圖書出版 : 2005[民94]</t>
  </si>
  <si>
    <t>徐茂鑫</t>
  </si>
  <si>
    <t xml:space="preserve">_x001E_華成圖書出版 : </t>
  </si>
  <si>
    <t xml:space="preserve">	957640858X</t>
  </si>
  <si>
    <t xml:space="preserve">	4411</t>
  </si>
  <si>
    <t>427.31  4411  2005</t>
  </si>
  <si>
    <t>81005A03M6;(94);L001</t>
  </si>
  <si>
    <t>義大利料理 : 新式醬汁總匯 / 旭屋出版著 ; 菅原史子,根岸亮輔攝影 ; 洪嘉穗譯臺北市 ; [臺北縣新店市] : 臺灣東販發行 : 民91</t>
  </si>
  <si>
    <t>根岸亮輔</t>
  </si>
  <si>
    <t xml:space="preserve">_x001E_農學總經銷, </t>
  </si>
  <si>
    <t>民91</t>
  </si>
  <si>
    <t xml:space="preserve">	9574733505</t>
  </si>
  <si>
    <t xml:space="preserve">	4722</t>
  </si>
  <si>
    <t>427.12  4722  2002</t>
  </si>
  <si>
    <t>81005A03D3;L001</t>
  </si>
  <si>
    <t>蛋料理 / 中村壽子編 ; 洪嘉青譯臺北市 ; [臺北縣中和市] : 新女性生活出版 : 1996[民85]</t>
  </si>
  <si>
    <t>中村壽子</t>
  </si>
  <si>
    <t xml:space="preserve">_x001E_旭昇總經銷, </t>
  </si>
  <si>
    <t>1996[民85]</t>
  </si>
  <si>
    <t xml:space="preserve">	9579494002</t>
  </si>
  <si>
    <t xml:space="preserve">	5441</t>
  </si>
  <si>
    <t>427.1  5441</t>
  </si>
  <si>
    <t>藥草手冊 = enjoy your herbal life : 健康．美容．料理 / 蓼科一一監修 ; 李妙霜譯臺北市 ; [臺北縣新店市] : 笛藤發行 : 民87[1998]</t>
  </si>
  <si>
    <t>李妙霜</t>
  </si>
  <si>
    <t>民87[1998]</t>
  </si>
  <si>
    <t xml:space="preserve">	9577102980</t>
  </si>
  <si>
    <t xml:space="preserve">	4211</t>
  </si>
  <si>
    <t>414.3026  4211</t>
  </si>
  <si>
    <t>報銷中</t>
  </si>
  <si>
    <t>不流通</t>
  </si>
  <si>
    <t>無油水料理 / 蔣雅蘭著臺北市 : 臺視, 1998[民87]</t>
  </si>
  <si>
    <t>蔣雅蘭</t>
  </si>
  <si>
    <t xml:space="preserve">_x001E_臺視, </t>
  </si>
  <si>
    <t>1998[民87]</t>
  </si>
  <si>
    <t xml:space="preserve">	9575652908</t>
  </si>
  <si>
    <t xml:space="preserve">	4474</t>
  </si>
  <si>
    <t>427.11  4474</t>
  </si>
  <si>
    <t>一人份料理手冊 / 手塚文榮著 ; 林芸譯臺北市 ; 臺北縣板橋市 : 主婦之友出版 : 1998[民87]</t>
  </si>
  <si>
    <t>手塚文榮</t>
  </si>
  <si>
    <t xml:space="preserve">_x001E_展智總經銷, </t>
  </si>
  <si>
    <t xml:space="preserve">	9574940438</t>
  </si>
  <si>
    <t xml:space="preserve">	2409</t>
  </si>
  <si>
    <t>427.1  2409</t>
  </si>
  <si>
    <t>筍料理 / 郭玉芳著臺北市 : 臺視文化, 1999[民88]</t>
  </si>
  <si>
    <t>郭玉芳</t>
  </si>
  <si>
    <t>1999[民88]</t>
  </si>
  <si>
    <t xml:space="preserve">	957565336X</t>
  </si>
  <si>
    <t xml:space="preserve">	0714</t>
  </si>
  <si>
    <t>427.11  0714</t>
  </si>
  <si>
    <t>四季素料理 / 鄭衍基著臺北市 : 臺視文化, 1999[民88]</t>
  </si>
  <si>
    <t>鄭衍基</t>
  </si>
  <si>
    <t xml:space="preserve">	9575653335</t>
  </si>
  <si>
    <t xml:space="preserve">	8724</t>
  </si>
  <si>
    <t>427.31  8724  c.2</t>
  </si>
  <si>
    <t>純正家庭料理 / 陳建民,陳建一著 ; 施聖茹譯臺北市 : 大展, 1999[民88]</t>
  </si>
  <si>
    <t>施聖茹</t>
  </si>
  <si>
    <t xml:space="preserve">_x001E_大展, </t>
  </si>
  <si>
    <t xml:space="preserve">	9575579267</t>
  </si>
  <si>
    <t xml:space="preserve">	7517</t>
  </si>
  <si>
    <t>427.11  7517</t>
  </si>
  <si>
    <t>這樣料理最健康 / 姜淑惠著臺北市 : 圓神, 2000[民89]</t>
  </si>
  <si>
    <t>姜淑惠</t>
  </si>
  <si>
    <t xml:space="preserve">_x001E_圓神, </t>
  </si>
  <si>
    <t>2000[民89]</t>
  </si>
  <si>
    <t xml:space="preserve">	9576074363</t>
  </si>
  <si>
    <t xml:space="preserve">	8035</t>
  </si>
  <si>
    <t>427.1  8035</t>
  </si>
  <si>
    <t>一鍋好料理 : 分享溫暖無國界的簡易料理 / 林美慧著 ; 徐博宇,廖家威攝影臺北市 : 積木文化出版 : 2000[民89]</t>
  </si>
  <si>
    <t>廖家威</t>
  </si>
  <si>
    <t xml:space="preserve">_x001E_積木文化出版 : </t>
  </si>
  <si>
    <t xml:space="preserve">	9574691241</t>
  </si>
  <si>
    <t xml:space="preserve">	4485-4</t>
  </si>
  <si>
    <t>427.1  4485-4</t>
  </si>
  <si>
    <t>93B-68;090</t>
  </si>
  <si>
    <t>大愛素食 : 一０八道歡喜自在的精進料理 / 林美慧著 ; 廖家威,徐博宗攝影臺北市 : 積木文化出版 : 2001[民90]</t>
  </si>
  <si>
    <t>2001[民90]</t>
  </si>
  <si>
    <t xml:space="preserve">	957469206X</t>
  </si>
  <si>
    <t xml:space="preserve">	4485-2</t>
  </si>
  <si>
    <t>427.31  4485-2</t>
  </si>
  <si>
    <t>基礎藥膳 = the new basic medicinal cuisine : 新百味料理 : hundred tastes cooking / 林美慧,李家雄作 ; 陳麗玲文字整理臺北市 : 臺灣餐飲出版 : 2002[民91]</t>
  </si>
  <si>
    <t>李家雄</t>
  </si>
  <si>
    <t xml:space="preserve">_x001E_臺灣餐飲出版 : </t>
  </si>
  <si>
    <t>2002[民91]</t>
  </si>
  <si>
    <t xml:space="preserve">	9573022095</t>
  </si>
  <si>
    <t>427.11  4485-2</t>
  </si>
  <si>
    <t>大白菜25種創新料理法 / 李幸紋總編輯臺北市 : 臺視文化, 1999[民88]</t>
  </si>
  <si>
    <t>李幸紋</t>
  </si>
  <si>
    <t xml:space="preserve">	9575653572</t>
  </si>
  <si>
    <t xml:space="preserve">	4042</t>
  </si>
  <si>
    <t>427.252  4042</t>
  </si>
  <si>
    <t xml:space="preserve">	4485</t>
  </si>
  <si>
    <t>89-104;4142(89)</t>
  </si>
  <si>
    <t>微波料理完全指南 / sarah brown著 ; 郭玢玢翻譯臺北市 : 貓頭鷹出版 : 1999[民88]</t>
  </si>
  <si>
    <t>Brown, Sarah</t>
  </si>
  <si>
    <t xml:space="preserve">_x001E_貓頭鷹出版 : </t>
  </si>
  <si>
    <t xml:space="preserve">	9570337052</t>
  </si>
  <si>
    <t xml:space="preserve">	4437</t>
  </si>
  <si>
    <t>427.1  4437</t>
  </si>
  <si>
    <t>燕京食譜 : 中華文化財紹介燕京料理調理法f劉鴻潤編著東京都 : 積文館, 昭和44年[1969]</t>
  </si>
  <si>
    <t>劉鴻潤</t>
  </si>
  <si>
    <t xml:space="preserve">_x001E_積文館, </t>
  </si>
  <si>
    <t>昭和44年[1969]</t>
  </si>
  <si>
    <t xml:space="preserve">	7233</t>
  </si>
  <si>
    <t>427  7233</t>
  </si>
  <si>
    <t>贈(70)</t>
  </si>
  <si>
    <t>吃．豆腐 = good tasting of tofu / 許堂仁,李家雄著臺北市 : 臺灣餐飲出版 : 1999[民88]</t>
  </si>
  <si>
    <t xml:space="preserve">	9579839093</t>
  </si>
  <si>
    <t xml:space="preserve">	0892</t>
  </si>
  <si>
    <t>427.11  0892</t>
  </si>
  <si>
    <t>贈(91)</t>
  </si>
  <si>
    <t>110道省錢料理大集合 / 楊桃文化資料提供臺北市 ; 臺北縣新店市 : 楊桃文化出版 : 2005[民94]</t>
  </si>
  <si>
    <t xml:space="preserve">	4402</t>
  </si>
  <si>
    <t>427.11  4402  2005</t>
  </si>
  <si>
    <t>81005A0ML7;L001;(95)</t>
  </si>
  <si>
    <t>大廚沒教的聰明料理. 中華篇 / 吳恩文著 ; 徐博宇, 林宗億攝影臺北市 : 積木文化出版 : 2006[民95]</t>
  </si>
  <si>
    <t>吳恩文</t>
  </si>
  <si>
    <t>2006[民95]</t>
  </si>
  <si>
    <t xml:space="preserve">	9867039157</t>
  </si>
  <si>
    <t xml:space="preserve">	2660-2</t>
  </si>
  <si>
    <t>427.11  2660-2  2006</t>
  </si>
  <si>
    <t>水果嘉年華 = the party of fruits : 好做好學?健康滿點71道創意水果料理 / 許堂仁, 方玉梅, 美食天下編輯部編著 ; 美食天下特約攝影臺北市 : 臺灣餐飲出版 : 民95</t>
  </si>
  <si>
    <t>方玉梅</t>
  </si>
  <si>
    <t>民95</t>
  </si>
  <si>
    <t xml:space="preserve">	9868125073</t>
  </si>
  <si>
    <t xml:space="preserve">	0892-2</t>
  </si>
  <si>
    <t>427.32  0892-2  2006</t>
  </si>
  <si>
    <t>玩食 : 美味料理的旅行故事 / 篠籐由裡文?攝影 ; 丁雍譯臺北市 : 馬可孛羅文化出版 : 2006[民95]</t>
  </si>
  <si>
    <t>丁雍</t>
  </si>
  <si>
    <t xml:space="preserve">_x001E_馬可孛羅文化出版 : </t>
  </si>
  <si>
    <t xml:space="preserve">	9867247329</t>
  </si>
  <si>
    <t xml:space="preserve">	8856</t>
  </si>
  <si>
    <t>538.78  8856  2006</t>
  </si>
  <si>
    <t>81005A0ML7;L001</t>
  </si>
  <si>
    <t>50種香料作料理 / 林勃攸食譜 ; 詹建華攝影臺北市 ; 臺北縣新店市 : 楊桃文化出版 : 2006[民95]</t>
  </si>
  <si>
    <t>林勃攸</t>
  </si>
  <si>
    <t xml:space="preserve">	4442</t>
  </si>
  <si>
    <t>427.1  4442  2006</t>
  </si>
  <si>
    <t>81006A0YF0;(96);L001</t>
  </si>
  <si>
    <t>冰冰好料理 / 中天娛樂著臺北市 : 時報數位傳播, 2007[民96]</t>
  </si>
  <si>
    <t xml:space="preserve">_x001E_時報數位傳播, </t>
  </si>
  <si>
    <t>2007[民96]</t>
  </si>
  <si>
    <t xml:space="preserve">	9789868291027</t>
  </si>
  <si>
    <t xml:space="preserve">	5142</t>
  </si>
  <si>
    <t>427.11  5142  2007</t>
  </si>
  <si>
    <t>81006A0L34;(95);L001</t>
  </si>
  <si>
    <t>無油煙微波料理 = microwave cooking / 辜惠雪作臺北市 : 邦聯文化, 2006[民95]</t>
  </si>
  <si>
    <t>辜惠雪</t>
  </si>
  <si>
    <t xml:space="preserve">_x001E_邦聯文化, </t>
  </si>
  <si>
    <t xml:space="preserve">	9867266331</t>
  </si>
  <si>
    <t xml:space="preserve">	4051</t>
  </si>
  <si>
    <t>427.1  4051  2006</t>
  </si>
  <si>
    <t>2003[民92]</t>
  </si>
  <si>
    <t>茶料理 = chinese tea-cuisine / 魯欽甫編著臺北縣新店市 : 名田文化, 2007[民96]</t>
  </si>
  <si>
    <t>魯欽甫</t>
  </si>
  <si>
    <t xml:space="preserve">_x001E_名田文化, </t>
  </si>
  <si>
    <t xml:space="preserve">	986715259X</t>
  </si>
  <si>
    <t xml:space="preserve">	2785-2</t>
  </si>
  <si>
    <t>427.11  2785-2  2007</t>
  </si>
  <si>
    <t>魔法廚房 : 柯瑞玲的法國料理教室 / 柯瑞玲作臺北市 : 平裝本, 2007[民96]</t>
  </si>
  <si>
    <t>柯瑞玲</t>
  </si>
  <si>
    <t xml:space="preserve">_x001E_平裝本, </t>
  </si>
  <si>
    <t xml:space="preserve">	9789578036123</t>
  </si>
  <si>
    <t xml:space="preserve">	4111</t>
  </si>
  <si>
    <t>427.12  4111  2007</t>
  </si>
  <si>
    <t>大家都愛蛋料理 / 辜惠雪作 ; 周禎和攝影臺北市 : 庫克書屋, 2007[民96]</t>
  </si>
  <si>
    <t>周禎和</t>
  </si>
  <si>
    <t xml:space="preserve">_x001E_庫克書屋, </t>
  </si>
  <si>
    <t xml:space="preserve">	9789868150836</t>
  </si>
  <si>
    <t xml:space="preserve">	4051-2</t>
  </si>
  <si>
    <t>427.1  4051-2  2007</t>
  </si>
  <si>
    <t>81007A02J8;(96);L001</t>
  </si>
  <si>
    <t>吃飯不簡單! : 世界料理用餐禮儀我ok / 主婦友社編集 ; 榎木香子插圖 ; 楊鴻儒譯臺北縣中和市 : 三悅文化圖書出版 : 2008[民97]</t>
  </si>
  <si>
    <t>楊鴻儒</t>
  </si>
  <si>
    <t xml:space="preserve">_x001E_瑞昇文化發行, </t>
  </si>
  <si>
    <t>2008[民97]</t>
  </si>
  <si>
    <t xml:space="preserve">	9789575267230</t>
  </si>
  <si>
    <t xml:space="preserve">	0434</t>
  </si>
  <si>
    <t>538.7  0434  2008</t>
  </si>
  <si>
    <t>81007A0DC9;(96);L001</t>
  </si>
  <si>
    <t>美味料理與健康 = salt sugar vinegar oil ginger garlic sauce wine : 談油、鹽、醬、醋、糖、的烹調技巧 / 王增編著臺北縣新店市 : 天佑智訊出版 : 2007[民96]</t>
  </si>
  <si>
    <t>王增</t>
  </si>
  <si>
    <t xml:space="preserve">	9789866742255</t>
  </si>
  <si>
    <t xml:space="preserve">	1048</t>
  </si>
  <si>
    <t>427.61  1048  2007</t>
  </si>
  <si>
    <t>美墨料理精選80 : 絕對道地的歡樂美味 / 吳思穎, 吳佩禧作 ; 周禎和攝影臺北市 : 邦聯文化, 2008[民97]</t>
  </si>
  <si>
    <t>吳佩禧</t>
  </si>
  <si>
    <t xml:space="preserve">	9789867266514</t>
  </si>
  <si>
    <t xml:space="preserve">	2662</t>
  </si>
  <si>
    <t>427.12  2662  2008</t>
  </si>
  <si>
    <t>借出</t>
  </si>
  <si>
    <t>佐賀阿嬤的超元氣料理 / 島田洋七, 佐野阿嬤作 ; 中本浩平攝影 ; 陳小五譯臺北市 : 時報文化, 2008[民97]</t>
  </si>
  <si>
    <t>中本浩平</t>
  </si>
  <si>
    <t xml:space="preserve">_x001E_時報文化, </t>
  </si>
  <si>
    <t xml:space="preserve">	9789571347875</t>
  </si>
  <si>
    <t xml:space="preserve">	2634</t>
  </si>
  <si>
    <t>427.131  2634  2008</t>
  </si>
  <si>
    <t>贈(96)</t>
  </si>
  <si>
    <t>婆婆媽媽幸福料理 / 呂碧玲等作臺北市 : 臺視文化, 2005[民94]</t>
  </si>
  <si>
    <t xml:space="preserve">	9575656806</t>
  </si>
  <si>
    <t>427.11  6011  2005</t>
  </si>
  <si>
    <t>排隊美食 : 100多道必學的超人氣小吃料理&amp;創業必知的秘笈 / 臺視文化企編 ; 廖雁昭主編臺北市 : 臺視文化, 2007[民96]</t>
  </si>
  <si>
    <t>廖雁昭</t>
  </si>
  <si>
    <t xml:space="preserve">	9789575657833</t>
  </si>
  <si>
    <t xml:space="preserve">	4302</t>
  </si>
  <si>
    <t>427.1  4302  2007</t>
  </si>
  <si>
    <t>簡單做年菜 : 102個明星老師料理撇步大公開 / 臺視文化圖書企編臺北市 : 臺視文化, 2007[民96]</t>
  </si>
  <si>
    <t xml:space="preserve">	9789575657673</t>
  </si>
  <si>
    <t>427.18  4302  2007</t>
  </si>
  <si>
    <t>贈(96);遺失賠書</t>
  </si>
  <si>
    <t>新手料理 : 洋食館?60道五星級的經典歐式料理 / 謝宜榮著 ; 徐博宇,廖家威攝影臺北市 : 積木文化出版 : 2002[民91]</t>
  </si>
  <si>
    <t xml:space="preserve">	9574699382</t>
  </si>
  <si>
    <t xml:space="preserve">	0439</t>
  </si>
  <si>
    <t>427.12  0439</t>
  </si>
  <si>
    <t>92B-6;4142(92)</t>
  </si>
  <si>
    <t>餐桌上的騷動 = evenements a la table : 普羅旺斯經典料理 / gerard pelourson,王桂秋合著臺北市 : 臺視文化, 2002[民91]</t>
  </si>
  <si>
    <t>王桂秋</t>
  </si>
  <si>
    <t xml:space="preserve">	957565546X</t>
  </si>
  <si>
    <t xml:space="preserve">	4034</t>
  </si>
  <si>
    <t>427.12  4034</t>
  </si>
  <si>
    <t>電磁波危害人體 : 「危險!大哥大會〝料理〞你的腦!」 / 張思海編臺北縣新店市 ; 臺北縣汐止市 : 正義出版 : 2004[民93]</t>
  </si>
  <si>
    <t>張思海</t>
  </si>
  <si>
    <t xml:space="preserve">_x001E_聯寶國際文化總經銷, </t>
  </si>
  <si>
    <t>2004[民93]</t>
  </si>
  <si>
    <t xml:space="preserve">	9576643139</t>
  </si>
  <si>
    <t xml:space="preserve">	1163</t>
  </si>
  <si>
    <t>411.9  1163</t>
  </si>
  <si>
    <t>93B-24;4142(93)</t>
  </si>
  <si>
    <t>order日本料理大丈夫 / betty reynolds作 ; 妮爾譯臺北市 ; 臺北縣新店市 : 笛藤出版 : 2002[民91]</t>
  </si>
  <si>
    <t>妮爾</t>
  </si>
  <si>
    <t xml:space="preserve">	9577103707</t>
  </si>
  <si>
    <t xml:space="preserve">	1008</t>
  </si>
  <si>
    <t>538.7831  1008</t>
  </si>
  <si>
    <t>92B-69;4142(92)</t>
  </si>
  <si>
    <t>眼球特別料理 / 綾?行人作 ; 董炯明譯臺北市 : 皇冠, 2004[民93]</t>
  </si>
  <si>
    <t>綾 行人</t>
  </si>
  <si>
    <t xml:space="preserve">_x001E_皇冠, </t>
  </si>
  <si>
    <t xml:space="preserve">	9573320193</t>
  </si>
  <si>
    <t xml:space="preserve">	2328</t>
  </si>
  <si>
    <t>861.57  2328</t>
  </si>
  <si>
    <t>92B-87;4142(92)</t>
  </si>
  <si>
    <t>新手烤箱料理 : oven dish / 陳立真著臺北市 : 臺視文化, 2004[民93]</t>
  </si>
  <si>
    <t>陳立真</t>
  </si>
  <si>
    <t xml:space="preserve">	9575655966</t>
  </si>
  <si>
    <t xml:space="preserve">	7504</t>
  </si>
  <si>
    <t>427  7504</t>
  </si>
  <si>
    <t>懶人快手料理 = easy cooking / 郭子儀,黃維文合著臺北市 ; [臺北縣三重市] : 二魚文化出版 : 2004[民93]</t>
  </si>
  <si>
    <t>郭子儀</t>
  </si>
  <si>
    <t xml:space="preserve">_x001E_大和書報總經銷, </t>
  </si>
  <si>
    <t xml:space="preserve">	986764235X</t>
  </si>
  <si>
    <t xml:space="preserve">	0712</t>
  </si>
  <si>
    <t>427.1  0712</t>
  </si>
  <si>
    <t>93B-7;4142(93)</t>
  </si>
  <si>
    <t>一網打盡百味魚 = fish 100 : 100道經典魚料理完全指南 / 程安琪著[臺北縣中和市] : 橘子, 2002[民91]</t>
  </si>
  <si>
    <t>程安琪</t>
  </si>
  <si>
    <t xml:space="preserve">_x001E_橘子, </t>
  </si>
  <si>
    <t xml:space="preserve">	9867997034</t>
  </si>
  <si>
    <t xml:space="preserve">	2631</t>
  </si>
  <si>
    <t>427.252  2631</t>
  </si>
  <si>
    <t>大家都愛的蔬食料理 / 王舒俞著臺北縣板橋市 : 雅書堂文化發行 : 2008[民97]</t>
  </si>
  <si>
    <t>王舒俞</t>
  </si>
  <si>
    <t xml:space="preserve">_x001E_雅書堂文化發行 : </t>
  </si>
  <si>
    <t xml:space="preserve">	1088</t>
  </si>
  <si>
    <t>427.3  1088  2008</t>
  </si>
  <si>
    <t>81008A0240;(97);L001</t>
  </si>
  <si>
    <t>醬, 讓料理更好吃 : 50道方便做的東.西素醬料 / 王延庸, 黃金生, 邱寶鈅著臺北縣板橋市 : 雅書堂文化, 2007[民96]</t>
  </si>
  <si>
    <t>王延庸</t>
  </si>
  <si>
    <t xml:space="preserve">_x001E_雅書堂文化, </t>
  </si>
  <si>
    <t xml:space="preserve">	9789867085771</t>
  </si>
  <si>
    <t xml:space="preserve">	1010</t>
  </si>
  <si>
    <t>427.31  1010  2007</t>
  </si>
  <si>
    <t>81008A0H93;4142(98);EC00</t>
  </si>
  <si>
    <t>型男大主廚 : 詹姆士vs.阿基師有省錢五星級料理 / 三立電視作臺北市 : 平裝本, 2007[民96]</t>
  </si>
  <si>
    <t>詹姆士</t>
  </si>
  <si>
    <t xml:space="preserve">	9789578036192</t>
  </si>
  <si>
    <t xml:space="preserve">	1013-2</t>
  </si>
  <si>
    <t>v.1</t>
  </si>
  <si>
    <t>427.1  1013-2  2007  v.1</t>
  </si>
  <si>
    <t>dd</t>
  </si>
  <si>
    <t xml:space="preserve">	4422</t>
  </si>
  <si>
    <t>全食物排毒事典 = the detox code in food / 呂丹芸, 郭盈秀, 陳小瑋文字編輯臺北縣新店市 : 源樺出版 : 2008[民97]</t>
  </si>
  <si>
    <t>呂丹芸</t>
  </si>
  <si>
    <t xml:space="preserve">_x001E_農學經銷, </t>
  </si>
  <si>
    <t xml:space="preserve">	9789866612114</t>
  </si>
  <si>
    <t xml:space="preserve">	6074</t>
  </si>
  <si>
    <t>411.3  6074  2008</t>
  </si>
  <si>
    <t>81008A0H93;4142(98);L001</t>
  </si>
  <si>
    <t>家有香草超好用 = enjoying your herbal life / 尼克著臺北市 : 麥浩斯出版 : 2010[民99]</t>
  </si>
  <si>
    <t>尼克</t>
  </si>
  <si>
    <t xml:space="preserve">_x001E_麥浩斯出版 : </t>
  </si>
  <si>
    <t>2010[民99]</t>
  </si>
  <si>
    <t xml:space="preserve">	9789866555985</t>
  </si>
  <si>
    <t xml:space="preserve">	7740</t>
  </si>
  <si>
    <t>434.193  7740  2009</t>
  </si>
  <si>
    <t>81009A0DN1;教學卓越計畫(98);L001</t>
  </si>
  <si>
    <t>詹姆士59元出好菜 : 創意日式料理 / 三立電視著臺北市 : 庫立馬媒體科技, 2010[民99]</t>
  </si>
  <si>
    <t xml:space="preserve">_x001E_庫立馬媒體科技, </t>
  </si>
  <si>
    <t xml:space="preserve">	9789868577800</t>
  </si>
  <si>
    <t xml:space="preserve">	1013</t>
  </si>
  <si>
    <t>427.131  1013  2010</t>
  </si>
  <si>
    <t>81009A0DN1;NT259(set book+dd);教學卓越計畫(98);L001</t>
  </si>
  <si>
    <t>廚神?家常海料理 : 100道一學就會的海鮮料理 / 鄭衍基, 施建發,張和錦等著臺北市 : 臺視文化, 2005[民94]</t>
  </si>
  <si>
    <t>張和錦</t>
  </si>
  <si>
    <t xml:space="preserve">	9575656970</t>
  </si>
  <si>
    <t xml:space="preserve">	8724-2</t>
  </si>
  <si>
    <t>427.25  8724-2  2005</t>
  </si>
  <si>
    <t>遺失賠新書</t>
  </si>
  <si>
    <t>法國料理的祕密 : 法國料理如何成為頂尖的世界美食? / 尚-皮耶.普蘭(jean-pierre poulain), 艾德蒙.納寧克(edmondneirinck)著 ; 林惠敏, 林思妤譯臺北市 : 如果出版 : 2009[民98]</t>
  </si>
  <si>
    <t>普蘭(Poulain, Jean-Pierre)</t>
  </si>
  <si>
    <t xml:space="preserve">_x001E_如果出版 : </t>
  </si>
  <si>
    <t>2009[民98]</t>
  </si>
  <si>
    <t xml:space="preserve">	9789866702303</t>
  </si>
  <si>
    <t xml:space="preserve">	8044</t>
  </si>
  <si>
    <t>538.7842  8044  2009</t>
  </si>
  <si>
    <t>81008A1BM1;教學卓越計畫(98);L001</t>
  </si>
  <si>
    <t>素食快炒下飯菜 / 江麗珠,楊桃文化作臺北市 ; [臺北縣新店市] : 楊桃文化出版 : 2009[民98]</t>
  </si>
  <si>
    <t>楊桃文化事業公司</t>
  </si>
  <si>
    <t xml:space="preserve">_x001E_聯合總經銷, </t>
  </si>
  <si>
    <t xml:space="preserve">	3111</t>
  </si>
  <si>
    <t>427.31  3111  2009</t>
  </si>
  <si>
    <t>料理圖鑑 : 1500招廚房新手求生術 / 越智登代子文 ; 平野惠理子圖 ; 楊曉婷譯臺北縣新店市 : 遠足, 民98[2009]</t>
  </si>
  <si>
    <t>平野惠理子</t>
  </si>
  <si>
    <t xml:space="preserve">_x001E_遠足, </t>
  </si>
  <si>
    <t>民98[2009]</t>
  </si>
  <si>
    <t xml:space="preserve">	9789866731402</t>
  </si>
  <si>
    <t xml:space="preserve">	4812</t>
  </si>
  <si>
    <t>427.8  4812  2009</t>
  </si>
  <si>
    <t>81009A07D9;4142(99);L001</t>
  </si>
  <si>
    <t>在廚房遇見masa : 給料理新手的100道快樂食譜 / masa著臺北縣新店市 : 幸福文化出版 : 2010[民99]</t>
  </si>
  <si>
    <t>Masa</t>
  </si>
  <si>
    <t xml:space="preserve">_x001E_遠足文化發行, </t>
  </si>
  <si>
    <t xml:space="preserve">	9789868555631</t>
  </si>
  <si>
    <t xml:space="preserve">	2217</t>
  </si>
  <si>
    <t>427.1  2217  2010</t>
  </si>
  <si>
    <t>81009A05G9;教學卓越計畫(98);L001</t>
  </si>
  <si>
    <t>吃出微鹼好體質 : 50道微鹼料理,讓你病痛不上身 / 黃苡菱著臺北縣板橋市 : 養沛文化館, 2009[民98]</t>
  </si>
  <si>
    <t>黃苡菱</t>
  </si>
  <si>
    <t xml:space="preserve">_x001E_養沛文化館, </t>
  </si>
  <si>
    <t xml:space="preserve">	9789868560314</t>
  </si>
  <si>
    <t xml:space="preserve">	4444</t>
  </si>
  <si>
    <t>411.3  4444  2009</t>
  </si>
  <si>
    <t>橄欖油風味料理 = olive oil, my favorite : 健康零負擔的頂級饗宴 / 廖玉儀著 ; 廖家威, 徐博宇攝影臺北市 : 積木文化出版 : 2009</t>
  </si>
  <si>
    <t xml:space="preserve">	9574691691</t>
  </si>
  <si>
    <t xml:space="preserve">	0012</t>
  </si>
  <si>
    <t>427.12  0012  2000</t>
  </si>
  <si>
    <t>認識分子廚藝 : 顛覆傳統美食體驗的料理革命 / 艾維.提斯(herve this)著 ; 梁曼嫻, 蒲欣珍譯臺北市 : 積木文化出版 : 2010[民99]</t>
  </si>
  <si>
    <t>提斯(This, Herve)</t>
  </si>
  <si>
    <t xml:space="preserve">	9789866595196</t>
  </si>
  <si>
    <t xml:space="preserve">	5642</t>
  </si>
  <si>
    <t>427.8  5642  2010</t>
  </si>
  <si>
    <t>joanna.愛的料理 : 藍帶教我關於愛與人生的32道食譜 / 劉韋彤著臺北市 : 推守文化創意, 2010[民99]</t>
  </si>
  <si>
    <t>劉韋彤</t>
  </si>
  <si>
    <t xml:space="preserve">_x001E_推守文化創意, </t>
  </si>
  <si>
    <t xml:space="preserve">	9789866570230</t>
  </si>
  <si>
    <t xml:space="preserve">	7247</t>
  </si>
  <si>
    <t>427.12  7247  2010</t>
  </si>
  <si>
    <t>81009A0UK4;教學卓越計畫(98);L001</t>
  </si>
  <si>
    <t>小小米桶的零油煙廚房 : 82道美味料理精彩上桌! / 吳美玲著臺北市 : 出版菊文化, 2010[民99]</t>
  </si>
  <si>
    <t>吳美玲</t>
  </si>
  <si>
    <t xml:space="preserve">_x001E_出版菊文化, </t>
  </si>
  <si>
    <t xml:space="preserve">	9789570452990</t>
  </si>
  <si>
    <t xml:space="preserve">	2681</t>
  </si>
  <si>
    <t>427.1  2681  2010</t>
  </si>
  <si>
    <t>咖哩風味料理 / 羅荷絲編著臺北縣新店市 : 大堯文化, 2010</t>
  </si>
  <si>
    <t>羅荷絲</t>
  </si>
  <si>
    <t xml:space="preserve">_x001E_大堯文化, </t>
  </si>
  <si>
    <t xml:space="preserve">	9789866792540</t>
  </si>
  <si>
    <t xml:space="preserve">	6042</t>
  </si>
  <si>
    <t>427.1  6042  2010</t>
  </si>
  <si>
    <t>81009A0WK8;教學卓越計畫(98);L001</t>
  </si>
  <si>
    <t>異國風素食料理 / 蘇鼎雅, 吳宜桓著 ; 張志銘攝影臺北市 : 二魚文化 : 2010</t>
  </si>
  <si>
    <t>吳宜桓</t>
  </si>
  <si>
    <t xml:space="preserve">_x001E_大和總經銷, </t>
  </si>
  <si>
    <t xml:space="preserve">	9789866490361</t>
  </si>
  <si>
    <t xml:space="preserve">	4427</t>
  </si>
  <si>
    <t>427.31  4427  2010</t>
  </si>
  <si>
    <t>7種食材變化80道美味料理 : 小熊與廚房的非常關係 / 熊凱怡著臺北市 : 出版菊文化, 2011</t>
  </si>
  <si>
    <t>熊凱怡</t>
  </si>
  <si>
    <t xml:space="preserve">	9789570452976</t>
  </si>
  <si>
    <t xml:space="preserve">	2129</t>
  </si>
  <si>
    <t>427  2129  2011</t>
  </si>
  <si>
    <t>81000A01L6;4142(100);L001</t>
  </si>
  <si>
    <t>到masa家學幸福料理 = joy of cooking at masa's place : 溫暖料理新手的101道貼心食譜 / masa(山下勝)撰文.攝影.繪圖臺北縣新店市 : 幸福文化出版 : 2010[民99]</t>
  </si>
  <si>
    <t>MASA</t>
  </si>
  <si>
    <t xml:space="preserve">	9789868555679</t>
  </si>
  <si>
    <t xml:space="preserve">	8090</t>
  </si>
  <si>
    <t>427.131  8090  2010</t>
  </si>
  <si>
    <t>81009A17G8;4142(100);L001</t>
  </si>
  <si>
    <t>百味豆腐 : 103道美味健康豆腐料理 / 蔡萬利著臺北縣新店市 : 幸福文化出版 : 2010[民99]</t>
  </si>
  <si>
    <t>蔡萬利</t>
  </si>
  <si>
    <t xml:space="preserve">	9789868555648</t>
  </si>
  <si>
    <t>427.33  4442  2010</t>
  </si>
  <si>
    <t>媽媽也不一定會的161個料理祕笈 = what's a cook to do? / 主婦生活編輯部編著 ; 鄭瑞玲,崔松子譯臺北縣中和市 : 漢湘文化出版 : 2009[民98]</t>
  </si>
  <si>
    <t>崔松子</t>
  </si>
  <si>
    <t xml:space="preserve">_x001E_漢湘文化出版 : </t>
  </si>
  <si>
    <t xml:space="preserve">	9789862250662</t>
  </si>
  <si>
    <t xml:space="preserve">	0423</t>
  </si>
  <si>
    <t>427.8022  0423  2009</t>
  </si>
  <si>
    <t>81000A07X5;4142(100);L001</t>
  </si>
  <si>
    <t>嚐書 : 視界與舌尖之外 : yiling's kitchen : on books and food : yiling的閱讀筆記與私房料理 / 劉怡伶著.攝影臺北市 : 網路與書出版 : 2007</t>
  </si>
  <si>
    <t>劉怡伶</t>
  </si>
  <si>
    <t xml:space="preserve">_x001E_網路與書出版 : </t>
  </si>
  <si>
    <t xml:space="preserve">	9789866841156</t>
  </si>
  <si>
    <t xml:space="preserve">	7292</t>
  </si>
  <si>
    <t>855  7292  2007</t>
  </si>
  <si>
    <t>廚房新手料理總複習 : 松露玫瑰的美味筆記 / 松露玫瑰作臺北市 : 出版菊文化, 2009[民98]</t>
  </si>
  <si>
    <t>松露玫瑰</t>
  </si>
  <si>
    <t xml:space="preserve">	9789570452969</t>
  </si>
  <si>
    <t>427.1  4111  2009</t>
  </si>
  <si>
    <t>81000A0BP3;4142(100);L001</t>
  </si>
  <si>
    <t>主廚經典開胃菜 = hors d'oeuvre : 95道冷熱前菜 各類食材及多種料理法變化! / 陳寬定(eddie chen)著臺北市 : 大境文化, 2010</t>
  </si>
  <si>
    <t>陳寬定(Eddie Chen)</t>
  </si>
  <si>
    <t xml:space="preserve">_x001E_大境文化, </t>
  </si>
  <si>
    <t xml:space="preserve">	9789570410839</t>
  </si>
  <si>
    <t xml:space="preserve">	7533</t>
  </si>
  <si>
    <t>427.12  7533  2010</t>
  </si>
  <si>
    <t>81000A0CD9;教學卓越計畫(100);L001</t>
  </si>
  <si>
    <t>乾杯.下酒菜 = 小酌.饗樂必備66道大廚手路菜x人氣餐館 : 特別精選「喝一杯」人氣餐館地圖,讓大廚的舌頭帶你飲酒作樂、吃遍山珍海味!只有懂食懂酒的料理職人,才能為你獻上好吃的極致之味! : bottoms up / 王祥富著臺北市大安區 ; 新北市樹林區 : 開企出版 : 2011</t>
  </si>
  <si>
    <t>王祥富</t>
  </si>
  <si>
    <t xml:space="preserve">_x001E_高見文化總經銷, </t>
  </si>
  <si>
    <t xml:space="preserve">	9789868691803</t>
  </si>
  <si>
    <t xml:space="preserve">	1033</t>
  </si>
  <si>
    <t>427.1  1033  2011</t>
  </si>
  <si>
    <t>一個人的幸福料理 = single life is deliciousf邱寶郎著 : 省錢.簡單.快速.方便.採買容易又能犒賞自己 ; 周禎和攝影臺北市 : 幸福文化出版 : 2009</t>
  </si>
  <si>
    <t xml:space="preserve">	9789868555600</t>
  </si>
  <si>
    <t xml:space="preserve">	7733-2</t>
  </si>
  <si>
    <t>427.1  7733-2  2009</t>
  </si>
  <si>
    <t>81000A0UB5;4142(100);L001</t>
  </si>
  <si>
    <t>懶人焗烤 = easy gratin : 好做又好吃的異國烤箱料理 / ellson著臺北市 : 朱雀文化出版, 2011[民100]</t>
  </si>
  <si>
    <t>Ellson</t>
  </si>
  <si>
    <t xml:space="preserve">_x001E_朱雀文化出版, </t>
  </si>
  <si>
    <t>2011[民100]</t>
  </si>
  <si>
    <t xml:space="preserve">	9789579814805</t>
  </si>
  <si>
    <t xml:space="preserve">	4779</t>
  </si>
  <si>
    <t>427.12  4779  2011</t>
  </si>
  <si>
    <t>輕鬆在家做日本料理 : 永老師的80道拿手菜 / 永連生著臺北縣新店市 : 幸福文化出版 : 2009</t>
  </si>
  <si>
    <t xml:space="preserve">	9789868555624</t>
  </si>
  <si>
    <t xml:space="preserve">	3032</t>
  </si>
  <si>
    <t>427.131  3032  2009</t>
  </si>
  <si>
    <t>81000A1107;4142(100);L001</t>
  </si>
  <si>
    <t>我的家常日本料理課 / 簡瑩華著新北市中和區 ; 新北市新店區 : 膳書房文化出版 : 2011[民100]</t>
  </si>
  <si>
    <t>簡瑩華</t>
  </si>
  <si>
    <t xml:space="preserve">_x001E_膳書房文化出版 : </t>
  </si>
  <si>
    <t xml:space="preserve">	9789866868764</t>
  </si>
  <si>
    <t xml:space="preserve">	8894</t>
  </si>
  <si>
    <t>427.13  8894  2011</t>
  </si>
  <si>
    <t>life家庭味 : 一般的日子裡也值得慶祝!的料理 / 飯島奈美著 ; 大江弘之攝影 ; 徐曉珮翻譯臺北市 ; [桃園市] : 朱雀文化出版 : 2011[民100]</t>
  </si>
  <si>
    <t>大江弘之</t>
  </si>
  <si>
    <t xml:space="preserve">_x001E_朱雀文化出版 : </t>
  </si>
  <si>
    <t xml:space="preserve">	9789866780912</t>
  </si>
  <si>
    <t xml:space="preserve">	8248</t>
  </si>
  <si>
    <t>427.131  8248  2011</t>
  </si>
  <si>
    <t>完美廚藝全書 : 一看就懂的1000個料理關鍵字 / 邁可.魯曼(michael ruhlman)著 ; 潘昱均譯新北市新店區 : 繆思出版 : 2011[民100]</t>
  </si>
  <si>
    <t>潘昱均</t>
  </si>
  <si>
    <t xml:space="preserve">	9789866665820</t>
  </si>
  <si>
    <t xml:space="preserve">	2760</t>
  </si>
  <si>
    <t>427  2760  2011</t>
  </si>
  <si>
    <t>小小米桶的超省時廚房 : 88道省錢又簡單的美味料理,新手也能輕鬆上桌! / 吳美玲著臺北市 : 出版菊文化, 2011[民100]</t>
  </si>
  <si>
    <t xml:space="preserve">	9789866210068</t>
  </si>
  <si>
    <t xml:space="preserve">	2681-2</t>
  </si>
  <si>
    <t>427.1  2681-2  2011</t>
  </si>
  <si>
    <t>cafe brunch : 星期天的料理時光 / 鄭榮仙著 ; 陳冬雪譯臺北市 : 精誠資訊,悅知文化, 2011[民100]</t>
  </si>
  <si>
    <t>鄭榮仙</t>
  </si>
  <si>
    <t xml:space="preserve">_x001E_精誠資訊,悅知文化, </t>
  </si>
  <si>
    <t xml:space="preserve">	9789866072253</t>
  </si>
  <si>
    <t xml:space="preserve">	8792</t>
  </si>
  <si>
    <t>427.1  8792  2011</t>
  </si>
  <si>
    <t>81001A01T2;4142(101);L001</t>
  </si>
  <si>
    <t>joanna的不敗料理 : 異國家常料理100個不失敗的秘訣 / 劉韋彤著臺北市 : 推守文化創意, 2011</t>
  </si>
  <si>
    <t xml:space="preserve">	9789866570063</t>
  </si>
  <si>
    <t xml:space="preserve">	7247-2</t>
  </si>
  <si>
    <t>427.12  7247-2  2011</t>
  </si>
  <si>
    <t>這樣吃,不失智 : 防失智養生書 : 1到100歲都會愛上的大腦保健料理 每個家庭必備的全方位 / 財團法人天主教失智老人社會福利基金會著臺北市 : 時報文化, 2011</t>
  </si>
  <si>
    <t>賴佩茹</t>
  </si>
  <si>
    <t xml:space="preserve">	9789571353715</t>
  </si>
  <si>
    <t xml:space="preserve">	1042:2</t>
  </si>
  <si>
    <t>418.91  1042:2  2011</t>
  </si>
  <si>
    <t>do</t>
  </si>
  <si>
    <t>122道超簡單、不失敗的平底鍋料理 : 每天都好吃! / 井澤由美子著 ; 吳嘉芳譯臺北市 : 精誠資訊, 2011</t>
  </si>
  <si>
    <t>井澤由美子</t>
  </si>
  <si>
    <t xml:space="preserve">_x001E_精誠資訊, </t>
  </si>
  <si>
    <t xml:space="preserve">	9789866072420</t>
  </si>
  <si>
    <t xml:space="preserve">	5358</t>
  </si>
  <si>
    <t>427.1  5358  2011</t>
  </si>
  <si>
    <t>81001A09P6;教學卓越計畫(101);L001</t>
  </si>
  <si>
    <t>達令是外國人之老媽的好吃好吃料理 = mom's a great cook / 小栗左多裡(oguri saori)作 ; 黃碧君譯 ; 小栗一江料理臺北市 : 時報文化, 2007</t>
  </si>
  <si>
    <t>小栗一江</t>
  </si>
  <si>
    <t xml:space="preserve">	9789571346311</t>
  </si>
  <si>
    <t xml:space="preserve">	9142-4</t>
  </si>
  <si>
    <t>861.6  9142-4  2007</t>
  </si>
  <si>
    <t>81001A0BK5;教學卓越計畫(101);L001</t>
  </si>
  <si>
    <t>型男大主廚. 3, 阿基師詹姆士嚴選料理 / 三立電視，鄭衍基，鄭堅克著臺北市 : 庫立馬媒體科技出版 : 2011</t>
  </si>
  <si>
    <t xml:space="preserve">_x001E_楨德圖書總經銷, </t>
  </si>
  <si>
    <t xml:space="preserve">	9789868577831</t>
  </si>
  <si>
    <t>v.3</t>
  </si>
  <si>
    <t>427.1  1013-2  2011  v.3</t>
  </si>
  <si>
    <t>81001A0DF5;教學卓越計畫(101);L001</t>
  </si>
  <si>
    <t>蔬菜之神 : 帶來幸福的40道料理 / 狩野由美子著 ; 郭清華譯臺北市 : 積木文化出版 : 2012</t>
  </si>
  <si>
    <t>狩野由美子</t>
  </si>
  <si>
    <t xml:space="preserve">	9789866595660</t>
  </si>
  <si>
    <t xml:space="preserve">	4658</t>
  </si>
  <si>
    <t>427.07  4658  2012</t>
  </si>
  <si>
    <t>家庭素食料理 / 陳東達著臺北市 : 大展, 1987[民76]</t>
  </si>
  <si>
    <t>陳東達</t>
  </si>
  <si>
    <t>1987[民76]</t>
  </si>
  <si>
    <t xml:space="preserve">	9575574176</t>
  </si>
  <si>
    <t xml:space="preserve">	7553</t>
  </si>
  <si>
    <t>427.31  7553  1987</t>
  </si>
  <si>
    <t>贈(100)</t>
  </si>
  <si>
    <t>藥膳 : 中國三千年的健康料理 / 林木崎著臺南市 : 王家出版 : 1990[民79]</t>
  </si>
  <si>
    <t>林木崎</t>
  </si>
  <si>
    <t xml:space="preserve">_x001E_皇家書社總經銷, </t>
  </si>
  <si>
    <t>1990[民79]</t>
  </si>
  <si>
    <t xml:space="preserve">	9573101904</t>
  </si>
  <si>
    <t xml:space="preserve">	4442:3</t>
  </si>
  <si>
    <t>418.91  4442:3  1990</t>
  </si>
  <si>
    <t>贈(100);龔政定大使贈</t>
  </si>
  <si>
    <t>187道創意料理輕鬆做 : 最完美的視覺饗宴 / 永瀨正人編 ; 沈曉琴譯新北市 : 漢湘文化, 2011</t>
  </si>
  <si>
    <t>永瀨正人</t>
  </si>
  <si>
    <t xml:space="preserve">_x001E_漢湘文化, </t>
  </si>
  <si>
    <t xml:space="preserve">	9789862252550</t>
  </si>
  <si>
    <t xml:space="preserve">	3318-2</t>
  </si>
  <si>
    <t>427.1  3318-2  2011</t>
  </si>
  <si>
    <t>200道餐廳暢銷蔬菜料理 / 李德強, 楊桃文化作臺北市 ; 新北市 : 楊桃文化出版 : 2011</t>
  </si>
  <si>
    <t>李德強</t>
  </si>
  <si>
    <t xml:space="preserve">_x001E_聯合發行總經銷, </t>
  </si>
  <si>
    <t xml:space="preserve">	4021</t>
  </si>
  <si>
    <t>427.3  4021  2011</t>
  </si>
  <si>
    <t>一個人好好吃 : 每一天都能盡情享受!的料理 / 蓋雅(magus)著臺北市 : 朱雀文化出版 : 2011</t>
  </si>
  <si>
    <t>蓋雅(Magus)</t>
  </si>
  <si>
    <t xml:space="preserve">	9789866029028</t>
  </si>
  <si>
    <t xml:space="preserve">	4470</t>
  </si>
  <si>
    <t>427.1  4470  2011</t>
  </si>
  <si>
    <t>一個人吃的幸福 / 梁瓊白著新北市 : 膳書房文化, 2011</t>
  </si>
  <si>
    <t>梁瓊白</t>
  </si>
  <si>
    <t xml:space="preserve">_x001E_膳書房文化, </t>
  </si>
  <si>
    <t xml:space="preserve">	9789866868832</t>
  </si>
  <si>
    <t xml:space="preserve">	3312-4</t>
  </si>
  <si>
    <t>427.1  3312-4  2011</t>
  </si>
  <si>
    <t>水果做醬變好菜 : 85道名廚傳授的清爽果香料理 / 李德全,郭泰王,李龍翔著 ; 蕭維剛攝影臺北市 : 城邦,麥浩斯出版 : 2011[民100]</t>
  </si>
  <si>
    <t>李德全</t>
  </si>
  <si>
    <t xml:space="preserve">_x001E_高見總經銷, </t>
  </si>
  <si>
    <t xml:space="preserve">	9789866086434</t>
  </si>
  <si>
    <t xml:space="preserve">	4028</t>
  </si>
  <si>
    <t>427.32  4028  2011</t>
  </si>
  <si>
    <t>四季適膚適齡手工皂 : 以天然食材特調 / 劉嘉蕙著臺北市 : 精誠資訊, 2011</t>
  </si>
  <si>
    <t>劉嘉蕙</t>
  </si>
  <si>
    <t xml:space="preserve">	9789866072345</t>
  </si>
  <si>
    <t xml:space="preserve">	7244</t>
  </si>
  <si>
    <t>466.4  7244  2011</t>
  </si>
  <si>
    <t>創意新食代!不敗kuso料理56道 / 曹得意，彭佳盈著新北市 : 華文網, 2011</t>
  </si>
  <si>
    <t>彭佳盈</t>
  </si>
  <si>
    <t xml:space="preserve">_x001E_華文網, </t>
  </si>
  <si>
    <t xml:space="preserve">	9789862711590</t>
  </si>
  <si>
    <t xml:space="preserve">	5520</t>
  </si>
  <si>
    <t>427.1  5520  2011</t>
  </si>
  <si>
    <t>不禁食的瘦身料理 : 美男廚師的101道美味低卡食譜 / 申效燮著 ; 陳品芳譯新北市汐止區 : 博碩文化, 2012</t>
  </si>
  <si>
    <t>申效燮</t>
  </si>
  <si>
    <t xml:space="preserve">_x001E_博碩文化, </t>
  </si>
  <si>
    <t xml:space="preserve">	9789862015896</t>
  </si>
  <si>
    <t xml:space="preserve">	5009</t>
  </si>
  <si>
    <t>427.1  5009  2012</t>
  </si>
  <si>
    <t>81001A0UL8;4142(101);L001</t>
  </si>
  <si>
    <t>輕鬆打造完美廚藝 : 新手變大廚的20項關鍵技法&amp;120道經典料理 / 邁可.魯曼(michael ruhlman)著 ; 唐娜.魯曼(donna turner ruhlman)攝影 ; 潘昱均譯新北市 : 繆思出版 : 2012</t>
  </si>
  <si>
    <t xml:space="preserve">	9789866026201</t>
  </si>
  <si>
    <t>427.8  2760  2012</t>
  </si>
  <si>
    <t>可以不要下廚嗎? : 寫給討厭烹飪者的懶人&amp;無知料理書 / 佩格.布拉肯(peg bracken), 喬安娜.布拉肯(johanna bracken)著 ; 許□予譯臺北市 : 大寫出版 : 2012</t>
  </si>
  <si>
    <t>布拉肯(Bracken, Johanna)</t>
  </si>
  <si>
    <t xml:space="preserve">_x001E_大雁文化發行, </t>
  </si>
  <si>
    <t xml:space="preserve">	9789866316616</t>
  </si>
  <si>
    <t xml:space="preserve">	4052</t>
  </si>
  <si>
    <t>427.12  4052  2012</t>
  </si>
  <si>
    <t>81001A1584;教學卓越計畫(101);L001</t>
  </si>
  <si>
    <t>肉類完美料理手冊 / 珍妮.米爾森(jennie milsom)著 ; 珍.羅利(jane laurie)繪圖 ; 鄭百雅譯臺北市 : 漫遊者文化出版 : 2012</t>
  </si>
  <si>
    <t>勞里(Laurie, Jane)</t>
  </si>
  <si>
    <t xml:space="preserve">_x001E_漫遊者文化出版 : </t>
  </si>
  <si>
    <t xml:space="preserve">	9789865956004</t>
  </si>
  <si>
    <t xml:space="preserve">	9014</t>
  </si>
  <si>
    <t>427.2  9014  2012</t>
  </si>
  <si>
    <t>廚藝之鑰 / 哈洛德.馬基(harold mcgee)著 ; 鄧子衿譯新北市新店區 : 大家出版 : 2012</t>
  </si>
  <si>
    <t>鄧子衿</t>
  </si>
  <si>
    <t xml:space="preserve">	9789866179358</t>
  </si>
  <si>
    <t xml:space="preserve">	7144-4</t>
  </si>
  <si>
    <t>427  7144-4  2012  v.1</t>
  </si>
  <si>
    <t>v.2</t>
  </si>
  <si>
    <t>深夜食堂料理特輯 / big comics original編輯部,dancyu編輯部編著 ; 安倍夜郎漫畫插圖 ; 丁世佳譯臺北市 : 新經典圖文傳播出版 : 2012</t>
  </si>
  <si>
    <t>adancyu編輯部</t>
  </si>
  <si>
    <t xml:space="preserve">_x001E_高寶書版總經銷, </t>
  </si>
  <si>
    <t xml:space="preserve">	9789868826762</t>
  </si>
  <si>
    <t xml:space="preserve">	1462</t>
  </si>
  <si>
    <t>427.131  1462  2012</t>
  </si>
  <si>
    <t>廚神的家常菜 : 傳奇餐廳的尋常料理,令人驚艷的好滋味 / 費朗.亞德裡亞(ferran adria)著 ; 許妍飛譯臺北市 : 朱雀文化, 2012[民101]</t>
  </si>
  <si>
    <t>亞德里亞(Adria, Ferran)</t>
  </si>
  <si>
    <t xml:space="preserve">_x001E_朱雀文化, </t>
  </si>
  <si>
    <t>2012[民101]</t>
  </si>
  <si>
    <t xml:space="preserve">	9789866029219</t>
  </si>
  <si>
    <t xml:space="preserve">	1261</t>
  </si>
  <si>
    <t>427.12  1261  2012</t>
  </si>
  <si>
    <t>料理的法則 : 20年經驗才敢說，101堂白宮主廚讓名人折服的料理精華課 / 路易斯.埃瓜拉斯(louis eguaras)著 ; 趙慧芬譯臺北市 : 原點出版 : 2013</t>
  </si>
  <si>
    <t>埃瓜拉斯(Eguaras, Louis)</t>
  </si>
  <si>
    <t xml:space="preserve">	9789866408700</t>
  </si>
  <si>
    <t xml:space="preserve">	4754:2</t>
  </si>
  <si>
    <t>427  4754:2  2013</t>
  </si>
  <si>
    <t>81002A0AM1;(101);HB04</t>
  </si>
  <si>
    <t>廚藝好好玩 : 探究真實飲食科學.破解廚房密技.料理好食物 / 傑夫.波特(jeff potter)著 ; 潘昱均譯新北市 : 繆思出版 : 2013</t>
  </si>
  <si>
    <t>波特(Potter, Jeff)</t>
  </si>
  <si>
    <t xml:space="preserve">	9789866026416</t>
  </si>
  <si>
    <t xml:space="preserve">	3424</t>
  </si>
  <si>
    <t>427  3424  2013</t>
  </si>
  <si>
    <t>細泥養生食譜 / 佳醫健康事業編著新北市中和區 ; 新北市三重區 : 佳醫健康事業股份有限公司 : 2011[民100]</t>
  </si>
  <si>
    <t xml:space="preserve">_x001E_千富總經銷, </t>
  </si>
  <si>
    <t xml:space="preserve">	9789868703001</t>
  </si>
  <si>
    <t xml:space="preserve">	2720</t>
  </si>
  <si>
    <t>411.3  2720  2011</t>
  </si>
  <si>
    <t>81002A06W7;4142(102);L001</t>
  </si>
  <si>
    <t>男性料理讀本 / 矢吹申彥著 ; 葉韋利譯臺北縣 : 遠足, 2013[民102]</t>
  </si>
  <si>
    <t>矢吹申彥</t>
  </si>
  <si>
    <t>2013[民102]</t>
  </si>
  <si>
    <t xml:space="preserve">	9789865967710</t>
  </si>
  <si>
    <t xml:space="preserve">	8650</t>
  </si>
  <si>
    <t>427.1  8650  2013</t>
  </si>
  <si>
    <t>81002A06W7;4142(102);EC00</t>
  </si>
  <si>
    <t>初學者的料理教科書 : 2500張步驟圖解，新手必備史上最簡單！看這本，保證不失敗！ / 川上文代著 ; 許孟涵譯臺北市 : 大境, 2012[民101]</t>
  </si>
  <si>
    <t>川上文代</t>
  </si>
  <si>
    <t xml:space="preserve">_x001E_大境, </t>
  </si>
  <si>
    <t xml:space="preserve">	9789570410976</t>
  </si>
  <si>
    <t xml:space="preserve">	2202</t>
  </si>
  <si>
    <t>427.8  2202  2012</t>
  </si>
  <si>
    <t>內田悟的蔬菜教室 : 當季蔬菜料理完全指南. 保存版春夏 / 內田悟著 ; 林仁惠譯臺北市 : 愛米粒, 2014[民103]</t>
  </si>
  <si>
    <t>內田悟</t>
  </si>
  <si>
    <t xml:space="preserve">_x001E_愛米粒, </t>
  </si>
  <si>
    <t>2014[民103]</t>
  </si>
  <si>
    <t xml:space="preserve">	9789868995079</t>
  </si>
  <si>
    <t xml:space="preserve">	4069</t>
  </si>
  <si>
    <t>427.3  4069  2014</t>
  </si>
  <si>
    <t>81003A06T8;4142(103);L001</t>
  </si>
  <si>
    <t>土鍋.美味料理的道具 / 渡邊有子著 ; 段玉倩譯新北市 : 大智通出版 : 2012</t>
  </si>
  <si>
    <t>段玉倩</t>
  </si>
  <si>
    <t xml:space="preserve">	9789866364723</t>
  </si>
  <si>
    <t xml:space="preserve">	3341</t>
  </si>
  <si>
    <t>427.1  3341  2012</t>
  </si>
  <si>
    <t>81002A0002;4142(102);L001</t>
  </si>
  <si>
    <t>飲食大百科事典 : 食物料理、食用方式以及營養、健康與膳食療養指引 / 林淑珍,吳秀如譯臺北市 : 合記, 2012</t>
  </si>
  <si>
    <t>吳秀如</t>
  </si>
  <si>
    <t xml:space="preserve">_x001E_合記, </t>
  </si>
  <si>
    <t xml:space="preserve">	9789861268286</t>
  </si>
  <si>
    <t xml:space="preserve">	4413</t>
  </si>
  <si>
    <t>411.3  4413  2012</t>
  </si>
  <si>
    <t>81002A0002;4142(102);EC00</t>
  </si>
  <si>
    <t>手作裸食 = my handmade food : 究極廚娘的食材嚴選,回歸料理初衷的原汁原味 / 蔡惠民著新北市 : 一起來出版 : 2013[民102]</t>
  </si>
  <si>
    <t>蔡惠民</t>
  </si>
  <si>
    <t xml:space="preserve">_x001E_遠足發行, </t>
  </si>
  <si>
    <t xml:space="preserve">	9789868933248</t>
  </si>
  <si>
    <t xml:space="preserve">	4457</t>
  </si>
  <si>
    <t>427.07  4457  2013</t>
  </si>
  <si>
    <t>81002A0JY1;4142(102);L001</t>
  </si>
  <si>
    <t>香料之王 : 胡椒的世界史與美味料理；關於人類的權力、貪婪和樂趣 / 娜塔莉.波恩胥帝希-阿夢德(nathalie pernstich-amend),孔拉德.波恩胥帝希(konras pernstich)著 ; 莊仲黎譯新北市 : 遠足文化, 2013</t>
  </si>
  <si>
    <t>波恩胥帝希(Pernstich, Konras)</t>
  </si>
  <si>
    <t xml:space="preserve">_x001E_遠足文化, </t>
  </si>
  <si>
    <t xml:space="preserve">	9789865967758</t>
  </si>
  <si>
    <t xml:space="preserve">	3610</t>
  </si>
  <si>
    <t>538.71  3610  2013</t>
  </si>
  <si>
    <t>81002A0E98;教學卓越計畫(102);L001</t>
  </si>
  <si>
    <t>矽谷美味人妻10分鐘幸福廚房 : 五步驟不失敗料理全圖解x200個省時快速烹調技 / 謝凱婷著臺北市 : 麥浩斯出版 : 2013[民102]</t>
  </si>
  <si>
    <t>謝凱婷</t>
  </si>
  <si>
    <t xml:space="preserve">	9789865932923</t>
  </si>
  <si>
    <t xml:space="preserve">	0424</t>
  </si>
  <si>
    <t>427.1  0424  2013</t>
  </si>
  <si>
    <t>81002A0NP2;教學卓越計畫(102);L001</t>
  </si>
  <si>
    <t>瑞典主婦這樣教，那樣煮，孩子不挑食 : 70道營養滿分的親子料理+8個瑞典教養分享養出均衡飲食的小孩! / 蘿瑞娜著臺北市 : 貝果, 2013[民102]</t>
  </si>
  <si>
    <t>蘿瑞娜</t>
  </si>
  <si>
    <t xml:space="preserve">_x001E_貝果, </t>
  </si>
  <si>
    <t xml:space="preserve">	9789868958500</t>
  </si>
  <si>
    <t xml:space="preserve">	4414</t>
  </si>
  <si>
    <t>427.1  4414  2013</t>
  </si>
  <si>
    <t>81002A1494;4142(103);L001</t>
  </si>
  <si>
    <t>臺灣料理小吃 = taiwan's best : local delicacies / 戴德和編著新北市 : 新文京開發, 2014</t>
  </si>
  <si>
    <t>戴德和</t>
  </si>
  <si>
    <t xml:space="preserve">_x001E_新文京開發, </t>
  </si>
  <si>
    <t xml:space="preserve">	9789862368381</t>
  </si>
  <si>
    <t xml:space="preserve">	4322</t>
  </si>
  <si>
    <t>427.133  4322  2014</t>
  </si>
  <si>
    <t>81003A0AC3;4142(103);L001</t>
  </si>
  <si>
    <t>costco好食提案 = costco recipe book : 小餐桌/大家庭/自己開店都愛的分裝、保存與料理食譜 / minakuchi nahoko等著 ; 黃文玲譯臺北市 : 創意市集出版 : 2014[民103]</t>
  </si>
  <si>
    <t>Minakuchi Nahoko</t>
  </si>
  <si>
    <t xml:space="preserve">_x001E_城邦文化發行, </t>
  </si>
  <si>
    <t xml:space="preserve">	9789865751098</t>
  </si>
  <si>
    <t xml:space="preserve">	4401</t>
  </si>
  <si>
    <t>427.1  4401  2014</t>
  </si>
  <si>
    <t>最愛365秒殺沙拉 : 一天3次、6種蔬果、5色營養，365天餐桌上的沙拉料理百科! / 鄭大悅著 ; cllc譯臺北市 : 臺灣廣廈, 2014[民103]</t>
  </si>
  <si>
    <t>Cllc</t>
  </si>
  <si>
    <t xml:space="preserve">_x001E_臺灣廣廈, </t>
  </si>
  <si>
    <t xml:space="preserve">	9789861302508</t>
  </si>
  <si>
    <t xml:space="preserve">	8749</t>
  </si>
  <si>
    <t>427.1  8749  2014</t>
  </si>
  <si>
    <t>81003A0FV9;教學卓越計畫(103);L001</t>
  </si>
  <si>
    <t>太太好吃經 : 新手懶人超簡單料理x百變營養美味便當. 3 / 緯來電視網著臺北市 ; 新北市 : 開企出版 : 2012</t>
  </si>
  <si>
    <t xml:space="preserve">_x001E_高建文化總經銷, </t>
  </si>
  <si>
    <t xml:space="preserve">	9789868774179</t>
  </si>
  <si>
    <t xml:space="preserve">	2413</t>
  </si>
  <si>
    <t>427.1  2413  2012</t>
  </si>
  <si>
    <t>81003A05Y0;4142(103);EC00</t>
  </si>
  <si>
    <t>百變健康素豆腐 : 好吃易作的60道創意豆腐料理 / 邱寶鈅著新北市板橋區 : 養沛文化館出版 : 2013[民102]</t>
  </si>
  <si>
    <t>邱寶鈅</t>
  </si>
  <si>
    <t xml:space="preserve">_x001E_養沛文化館出版 : </t>
  </si>
  <si>
    <t xml:space="preserve">	9789866247729</t>
  </si>
  <si>
    <t xml:space="preserve">	7738-3</t>
  </si>
  <si>
    <t>427.31  7738-3  2013</t>
  </si>
  <si>
    <t>食在有「速配」!史上最營養的蔬果魚肉烹調搭配圖鑑 : 媽媽沒有教,營養師都在學的172種食材健康料理秘技! : 營養功效加乘,預防效果加倍!吃美味更吃元氣的菜市場營養學! / 小池澄子著 ; 王淳蕙譯新北市中和區 ; 新北市深坑區 : 蘋果屋發行 : 2013[民102]</t>
  </si>
  <si>
    <t>小池澄子</t>
  </si>
  <si>
    <t xml:space="preserve">_x001E_蘋果屋發行 : </t>
  </si>
  <si>
    <t xml:space="preserve">	9866444600</t>
  </si>
  <si>
    <t xml:space="preserve">	9331</t>
  </si>
  <si>
    <t>411.3  9331  2013</t>
  </si>
  <si>
    <t>魚料理營養豐富 / 郭泰王,王人豪著新北市 : 人類, 2011[民100]</t>
  </si>
  <si>
    <t>王人豪</t>
  </si>
  <si>
    <t xml:space="preserve">_x001E_人類, </t>
  </si>
  <si>
    <t xml:space="preserve">	9789864136247</t>
  </si>
  <si>
    <t xml:space="preserve">	0751</t>
  </si>
  <si>
    <t>427.252  0751  2011</t>
  </si>
  <si>
    <t>餐桌上的魚百科 : 跟著魚汛吃好魚!從挑選、保存、處理、熟成到料理的全食材事典 / 郭宗坤著臺北市 : 麥浩斯, 2014[民103]</t>
  </si>
  <si>
    <t>郭宗坤</t>
  </si>
  <si>
    <t xml:space="preserve">_x001E_麥浩斯, </t>
  </si>
  <si>
    <t xml:space="preserve">	9789865802578</t>
  </si>
  <si>
    <t xml:space="preserve">	0734</t>
  </si>
  <si>
    <t>427.252  0734  2014</t>
  </si>
  <si>
    <t>81003A05Y0;4142(103);L001</t>
  </si>
  <si>
    <t>78道停不了口的10分鐘肉料理 : 把便宜的肉變好吃了 / [重信初江, 堤人美] ; 何姵儀譯臺北市 : 采實文化, 2014[民103]</t>
  </si>
  <si>
    <t>NHK</t>
  </si>
  <si>
    <t xml:space="preserve">_x001E_采實文化, </t>
  </si>
  <si>
    <t xml:space="preserve">	9789866228902</t>
  </si>
  <si>
    <t xml:space="preserve">	2233</t>
  </si>
  <si>
    <t>427.2  2233  2014</t>
  </si>
  <si>
    <t>世界料理解構聖經 = mon cours de cuisine / keda black,marabout編輯部著 ; 林雅芬譯臺北市 : 積木文化出版 : 2014[民103]</t>
  </si>
  <si>
    <t>Marabout編輯部</t>
  </si>
  <si>
    <t xml:space="preserve">	9789865865399</t>
  </si>
  <si>
    <t xml:space="preserve">	4044</t>
  </si>
  <si>
    <t>427.1  4044  2014</t>
  </si>
  <si>
    <t>食物調理機料理教科書 / 重信初江著 ; 許郁文譯新北市 : 遠足文化, 2013[民102]</t>
  </si>
  <si>
    <t>許郁文</t>
  </si>
  <si>
    <t xml:space="preserve">	9789865787066</t>
  </si>
  <si>
    <t>427.1  2233  2013</t>
  </si>
  <si>
    <t>露營x居家 : 荷蘭鍋55道秒殺料理 / 肉圓著臺北市 : 腳丫文化, 2013[民102]</t>
  </si>
  <si>
    <t>肉圓</t>
  </si>
  <si>
    <t xml:space="preserve">_x001E_腳丫文化, </t>
  </si>
  <si>
    <t xml:space="preserve">	9789867637833</t>
  </si>
  <si>
    <t xml:space="preserve">	4060</t>
  </si>
  <si>
    <t>427.1  4060  2013</t>
  </si>
  <si>
    <t>10分鐘速料理 = fast cooking : 陳德烈的88道快手菜輕鬆上桌 / 陳德烈著臺北市 : 日日幸福事業, 2013[民102]</t>
  </si>
  <si>
    <t>陳德烈</t>
  </si>
  <si>
    <t xml:space="preserve">_x001E_日日幸福事業, </t>
  </si>
  <si>
    <t xml:space="preserve">	9789868969131</t>
  </si>
  <si>
    <t xml:space="preserve">	7521-2</t>
  </si>
  <si>
    <t>427.1  7521-2  2013</t>
  </si>
  <si>
    <t>跟著節氣吃蔬果 : 一輩子都好用的安心蔬果採買料理聖經 / 林勃攸著臺北市 ; 新北市新店區 : 帕斯頓數位多媒體出版 : 2013[民102]</t>
  </si>
  <si>
    <t xml:space="preserve">	9789868933132</t>
  </si>
  <si>
    <t>411.3  4442:3  2013</t>
  </si>
  <si>
    <t>81003A03B2;4142(103);L001</t>
  </si>
  <si>
    <t>111道小家庭幸福料理 = cooking ideas for happy family : 給上班族、新手爸媽與小家庭的美味食譜 / 蔣偉文,溫國智著臺北市 : 日日幸福事業, 2014[民103]</t>
  </si>
  <si>
    <t>溫國智</t>
  </si>
  <si>
    <t xml:space="preserve">	9789868969148</t>
  </si>
  <si>
    <t xml:space="preserve">	4420</t>
  </si>
  <si>
    <t>427.1  4420  2014</t>
  </si>
  <si>
    <t>81003A0N20;教學卓越計畫(103);L001</t>
  </si>
  <si>
    <t>平民手感好料理 : 每天吃都吃不膩的100種簡單壽司x飯糰x御飯糰美味配方 / 龍東姬著 ; 孫宏偉譯新北市 : 博悅文化出版 : 2014[民103]</t>
  </si>
  <si>
    <t>孫宏偉</t>
  </si>
  <si>
    <t xml:space="preserve">_x001E_博碩文化發行, </t>
  </si>
  <si>
    <t xml:space="preserve">	9789869065672</t>
  </si>
  <si>
    <t xml:space="preserve">	0154</t>
  </si>
  <si>
    <t>427.35  0154  2014</t>
  </si>
  <si>
    <t>81003A11R2;4142(104);CA00</t>
  </si>
  <si>
    <t>輕鬆打造完美廚藝 : 新手變大廚的20項關鍵技法&amp;120道經典料理 / 邁可.魯曼(michael ruhlman)著 ; 潘昱均譯新北市 : 奇光出版 : 2014[民103]</t>
  </si>
  <si>
    <t xml:space="preserve">	9789869094405</t>
  </si>
  <si>
    <t xml:space="preserve">	2760-2</t>
  </si>
  <si>
    <t>427.8  2760-2  2014</t>
  </si>
  <si>
    <t>81003A11R2;4142(104);BA00</t>
  </si>
  <si>
    <t>carol不藏私料理廚房 : 新手也能變大廚的90堂必修課 / 胡涓涓(carol)著臺北市 : 朱雀文化, 2010[民99]</t>
  </si>
  <si>
    <t>Carol</t>
  </si>
  <si>
    <t xml:space="preserve">	9789866780837</t>
  </si>
  <si>
    <t xml:space="preserve">	4733</t>
  </si>
  <si>
    <t>427.11  4733  2010</t>
  </si>
  <si>
    <t>81003A11R2;4142(104);L001</t>
  </si>
  <si>
    <t>四季滋補養生湯 nutritious soups for all seasons / 梁慧敏著新北市 : 人類智庫數位科技出版 : 2015.01[民104]</t>
  </si>
  <si>
    <t>梁慧敏</t>
  </si>
  <si>
    <t xml:space="preserve">_x001E_聯合發行經銷, </t>
  </si>
  <si>
    <t>2015.01[民104]</t>
  </si>
  <si>
    <t xml:space="preserve">	9789863730767</t>
  </si>
  <si>
    <t xml:space="preserve">	3358</t>
  </si>
  <si>
    <t>413.98  3358  2015</t>
  </si>
  <si>
    <t>8100104A041228;4142(104);BA00</t>
  </si>
  <si>
    <t>造型兒童餐 : 88種超萌料理讓孩子天天都想帶便當! / 古露露著臺北市 : 橘子文化, 2014[民103]</t>
  </si>
  <si>
    <t>古露露</t>
  </si>
  <si>
    <t xml:space="preserve">_x001E_橘子文化, </t>
  </si>
  <si>
    <t xml:space="preserve">	9789863640363</t>
  </si>
  <si>
    <t xml:space="preserve">	4011</t>
  </si>
  <si>
    <t>427.17  4011  2014</t>
  </si>
  <si>
    <t>8100104A030961;4142(104);L001</t>
  </si>
  <si>
    <t>離奇料理 = grotesque dishes i ever made / 朱國珍作臺北市 : 二魚文化出版 : 2015[民104]</t>
  </si>
  <si>
    <t>朱國珍</t>
  </si>
  <si>
    <t xml:space="preserve">_x001E_大和書報圖書總經銷, </t>
  </si>
  <si>
    <t>2015[民104]</t>
  </si>
  <si>
    <t xml:space="preserve">	9789865813475</t>
  </si>
  <si>
    <t xml:space="preserve">	2561</t>
  </si>
  <si>
    <t>855  2561  2015</t>
  </si>
  <si>
    <t>愛上日本料理 : 臺灣道地和風料亭50+ / la vie編輯部著臺北市 : 麥浩斯出版 : 2012</t>
  </si>
  <si>
    <t xml:space="preserve">	9789865932466</t>
  </si>
  <si>
    <t xml:space="preserve">	7054-2</t>
  </si>
  <si>
    <t>483.8  7054-2  2012</t>
  </si>
  <si>
    <t>贈(104)</t>
  </si>
  <si>
    <t>異國料理全攻略 : 265個必備妙招、技巧、餐廳秘密及美味食譜 / 珍妮.戴維絲(jenni davis)著 ; 方玥雯譯臺北市 : 麥浩斯出版 : 2015[民104]</t>
  </si>
  <si>
    <t>戴維絲(Davis, Jenni)</t>
  </si>
  <si>
    <t xml:space="preserve">	9789864080311</t>
  </si>
  <si>
    <t>427  4322  2015</t>
  </si>
  <si>
    <t>8100104A110027;教學卓越計畫(104);BA00</t>
  </si>
  <si>
    <t>愛料理?網友熱搜top100電鍋菜 / 愛料理團隊著臺北市 : 三采文化, 2015[民104]</t>
  </si>
  <si>
    <t xml:space="preserve">	9789863422983</t>
  </si>
  <si>
    <t xml:space="preserve">	2916</t>
  </si>
  <si>
    <t>427.1  2916  2015</t>
  </si>
  <si>
    <t>8100104A090634;教學卓越計畫(104);L001</t>
  </si>
  <si>
    <t>weck玻璃罐料理 : 沙拉.便當.常備菜.甜點.果醬的美好飲食提案 / 許凱倫等著 ; 王正毅攝影新北市 : 野人出版 : 2015</t>
  </si>
  <si>
    <t>王正毅</t>
  </si>
  <si>
    <t xml:space="preserve">_x001E_野人出版 : </t>
  </si>
  <si>
    <t xml:space="preserve">	9789863840602</t>
  </si>
  <si>
    <t xml:space="preserve">	0822</t>
  </si>
  <si>
    <t>427.1  0822  2015</t>
  </si>
  <si>
    <t>8100104A110390;教學卓越計畫(104);L001</t>
  </si>
  <si>
    <t>吃麵包! : 超過70種世界麵包種類作法&amp;創意料理 / 日本麵包推廣協會監修 ; 郭清華譯臺北市 : 積木文化出版 : 2013[民102]</t>
  </si>
  <si>
    <t>郭清華</t>
  </si>
  <si>
    <t xml:space="preserve">	9789865865108</t>
  </si>
  <si>
    <t xml:space="preserve">	6542</t>
  </si>
  <si>
    <t>427.16  6542  2013</t>
  </si>
  <si>
    <t>只想窩在家的休日好食光 : 120道簡易居家小料理,家裡就是咖啡館! / 妞仔(黃宜貞)著臺北市 : 三采, 2015.10</t>
  </si>
  <si>
    <t>妞仔</t>
  </si>
  <si>
    <t xml:space="preserve">_x001E_三采, </t>
  </si>
  <si>
    <t xml:space="preserve">	9789863424635</t>
  </si>
  <si>
    <t xml:space="preserve">	4432</t>
  </si>
  <si>
    <t>427.1  4432  2015</t>
  </si>
  <si>
    <t>矽谷美味人妻一鍋幸福煮 / 謝凱婷kt著臺北市 : 三采文化, 2015</t>
  </si>
  <si>
    <t xml:space="preserve">	9789863424451</t>
  </si>
  <si>
    <t xml:space="preserve">	0424-2</t>
  </si>
  <si>
    <t>427.1  0424-2  2015</t>
  </si>
  <si>
    <t>料理的科學 : 50個圖解核心觀念說明，破解世上美味烹調秘密與技巧 / 美國實驗廚房編輯群(the editors at america's test kitchen),蓋?克羅斯比(guy crosby)合著 ; 陳維真,張簡守展等合譯臺北市 : 大寫出版 : 2015</t>
  </si>
  <si>
    <t>克羅斯比(Crosby, Guy)</t>
  </si>
  <si>
    <t xml:space="preserve">	9789865695286</t>
  </si>
  <si>
    <t xml:space="preserve">	8637</t>
  </si>
  <si>
    <t>427  8637  2015</t>
  </si>
  <si>
    <t>最愛燜燒鍋 : 一鍋到底一鍋搞定60道暖心料理 / 加賀美智久著臺北市 : 日日幸福事業出版 : 2015.11</t>
  </si>
  <si>
    <t>加賀美智久</t>
  </si>
  <si>
    <t xml:space="preserve">_x001E_聯合發行, </t>
  </si>
  <si>
    <t xml:space="preserve">	9789869207836</t>
  </si>
  <si>
    <t xml:space="preserve">	4488</t>
  </si>
  <si>
    <t>427.1  4488  2015</t>
  </si>
  <si>
    <t>8100104A120328;教學卓越計畫(104);L001</t>
  </si>
  <si>
    <t>省電省瓦斯保溫杯料理 / 百著 ; 瞿中蓮譯臺北市 : 麥浩斯出版 : 2013.12</t>
  </si>
  <si>
    <t>百</t>
  </si>
  <si>
    <t xml:space="preserve">	9789865802530</t>
  </si>
  <si>
    <t xml:space="preserve">	1033:2</t>
  </si>
  <si>
    <t>427.1  1033:2  2013</t>
  </si>
  <si>
    <t>燜燒罐的魔法料理 / 薛文龍著臺北市 : 邦聯文化, 2015.05</t>
  </si>
  <si>
    <t>薛文龍</t>
  </si>
  <si>
    <t xml:space="preserve">	9789866199615</t>
  </si>
  <si>
    <t xml:space="preserve">	4400:2</t>
  </si>
  <si>
    <t>427.1  4400:2  2015</t>
  </si>
  <si>
    <t>廚藝之樂(飲料?開胃小點?早、午、晚餐?湯品?麵食?蛋?蔬果料理) = joy of cooking : 從食材到工序,烹調的關鍵技法與實用食譜 / 厄爾瑪?隆鮑爾(irma s. rombauer),瑪麗安?隆鮑爾?貝克(marion rombauer becker),伊森?貝克(ethan becker)著 ; 廖婉如譯臺北市 : 健行文化出版 : 2015.11</t>
  </si>
  <si>
    <t>廖婉如</t>
  </si>
  <si>
    <t xml:space="preserve">_x001E_健行文化出版 : </t>
  </si>
  <si>
    <t xml:space="preserve">	9789869192330</t>
  </si>
  <si>
    <t xml:space="preserve">	6040</t>
  </si>
  <si>
    <t>427.1  6040  2015</t>
  </si>
  <si>
    <t>我的食材便利包 : 從冰箱到餐桌,省錢省力的料理筆記 / 楊賢英著臺北市 : 麥浩斯出版 : 2015.11</t>
  </si>
  <si>
    <t>楊賢英</t>
  </si>
  <si>
    <t xml:space="preserve">	9789864080953</t>
  </si>
  <si>
    <t xml:space="preserve">	4674-2</t>
  </si>
  <si>
    <t>427.7  4674-2  2015</t>
  </si>
  <si>
    <t>老祖宗的食療智慧 : 150種中藥食材 450道養生料理,最完善的保健食譜 / 中藥養生堂編著臺北市 : 有意思, 2015.06</t>
  </si>
  <si>
    <t xml:space="preserve">_x001E_有意思, </t>
  </si>
  <si>
    <t xml:space="preserve">	9789863753209</t>
  </si>
  <si>
    <t xml:space="preserve">	5482</t>
  </si>
  <si>
    <t>413.98  5482  2015</t>
  </si>
  <si>
    <t>8100104A111012;(104);HB02</t>
  </si>
  <si>
    <t>絕品料理 : 栗原晴美教你成為宴客高手 / 栗原晴美作 ; 林仁惠譯臺北市 : 愛米粒, 2015</t>
  </si>
  <si>
    <t>林仁惠</t>
  </si>
  <si>
    <t xml:space="preserve">	9789869193832</t>
  </si>
  <si>
    <t xml:space="preserve">	1768-2</t>
  </si>
  <si>
    <t>427.131  1768-2  2015</t>
  </si>
  <si>
    <t>廚神的盛宴 = hestoric heston blumenthal : 絕世鬼才赫斯頓的28道傳奇料理 / 赫斯頓.布魯門索(heston blumenthal)作 ; 大衛.麥金(dave mckean)繪 ; 鍾沛君譯臺北市 : 麥浩斯出版 : 2015.08</t>
  </si>
  <si>
    <t>布魯門索(Blumenthal,Heston)</t>
  </si>
  <si>
    <t xml:space="preserve">	9789864080434</t>
  </si>
  <si>
    <t xml:space="preserve">	4274</t>
  </si>
  <si>
    <t>538.7841  4274  2015</t>
  </si>
  <si>
    <t>難忘歐洲家庭料理 : 日本人最想保存的美食料理散文第1名 / 石井好子著 ; 張秋明譯臺北市 : 大田, 2015</t>
  </si>
  <si>
    <t>張秋明</t>
  </si>
  <si>
    <t xml:space="preserve">_x001E_大田, </t>
  </si>
  <si>
    <t xml:space="preserve">	9789861794051</t>
  </si>
  <si>
    <t xml:space="preserve">	1541</t>
  </si>
  <si>
    <t>427.07  1541  2015</t>
  </si>
  <si>
    <t>蘇發福日記 : 鑄鐵鍋中西式不敗料理 / 蘇發福著臺北市 : 高寶國際出版 : 2015.08</t>
  </si>
  <si>
    <t>蘇發福</t>
  </si>
  <si>
    <t xml:space="preserve">_x001E_高寶國際出版 : </t>
  </si>
  <si>
    <t xml:space="preserve">	9789863611721</t>
  </si>
  <si>
    <t>427.1  4413  2015</t>
  </si>
  <si>
    <t>燜燒罐享瘦料理 / 陳俊如著新北市 : 出色, 2015[民104]</t>
  </si>
  <si>
    <t>陳俊如</t>
  </si>
  <si>
    <t xml:space="preserve">_x001E_出色, </t>
  </si>
  <si>
    <t xml:space="preserve">	9789865678708</t>
  </si>
  <si>
    <t xml:space="preserve">	7524</t>
  </si>
  <si>
    <t>411.94  7524  2015</t>
  </si>
  <si>
    <t>8100105A041072;4142(105);L001</t>
  </si>
  <si>
    <t>贊否兩論主廚的絕品丼飯料理 / 笠原將弘作 ; 何姵儀譯臺北市 : 悅知, 2016[民105]</t>
  </si>
  <si>
    <t>何姵儀</t>
  </si>
  <si>
    <t xml:space="preserve">_x001E_悅知, </t>
  </si>
  <si>
    <t>2016[民105]</t>
  </si>
  <si>
    <t xml:space="preserve">	9789865617752</t>
  </si>
  <si>
    <t xml:space="preserve">	8721</t>
  </si>
  <si>
    <t>427.35  8721  2016</t>
  </si>
  <si>
    <t>贊否兩論主廚的究極火鍋料理 / 笠原將弘作 ; 何姵儀譯臺北市 : 悅知文化, 2015</t>
  </si>
  <si>
    <t xml:space="preserve">_x001E_悅知文化, </t>
  </si>
  <si>
    <t xml:space="preserve">	9789865617493</t>
  </si>
  <si>
    <t>427.1  8721  2015</t>
  </si>
  <si>
    <t>療癒廚房 : 我家的舒適食.常備菜.料理的基本與廚房裡的大小事 / 暴躁兔女王著臺北市 : 麥浩斯出版 : 2015</t>
  </si>
  <si>
    <t>暴躁兔女王</t>
  </si>
  <si>
    <t xml:space="preserve">	9789864080816</t>
  </si>
  <si>
    <t xml:space="preserve">	6614</t>
  </si>
  <si>
    <t>427.07  6614  2015</t>
  </si>
  <si>
    <t>幸福珈常菜 : 鑄鐵鍋料理 美味不設限 / 張若珈(roka)著臺北市 : 高寶國際出版 : 2016[民105]</t>
  </si>
  <si>
    <t>Roka</t>
  </si>
  <si>
    <t xml:space="preserve">	9789863612476</t>
  </si>
  <si>
    <t xml:space="preserve">	1141</t>
  </si>
  <si>
    <t>427.1  1141  2016</t>
  </si>
  <si>
    <t>le creuset鑄鐵鍋飯料理 : 拌飯.蓋飯.炒飯.炊飯.蒸飯.壽司60道幸福米飯食譜 / 主婦友社編著 ; 白璧瑩譯臺北市 : 采實, 2015[民104]</t>
  </si>
  <si>
    <t>白璧瑩</t>
  </si>
  <si>
    <t xml:space="preserve">_x001E_采實, </t>
  </si>
  <si>
    <t xml:space="preserve">	9789865683870</t>
  </si>
  <si>
    <t>427.35  0434  2015</t>
  </si>
  <si>
    <t>costco完全料理指南 : 小林和郭郭的零失敗中西式食譜,採買、分裝、料理,一次完成! / 小林著臺北市 : 高寶國際出版 : 2016[民105]</t>
  </si>
  <si>
    <t>小林</t>
  </si>
  <si>
    <t xml:space="preserve">	9789863612445</t>
  </si>
  <si>
    <t xml:space="preserve">	9044:2</t>
  </si>
  <si>
    <t>427.1  9044:2  2016</t>
  </si>
  <si>
    <t>「鑄鐵鍋」料理日日美味 / 井澤由美子作 ; 沙子芳譯臺北市 : 睿其書房, 2015[民104]</t>
  </si>
  <si>
    <t xml:space="preserve">_x001E_睿其書房, </t>
  </si>
  <si>
    <t xml:space="preserve">	9789869237628</t>
  </si>
  <si>
    <t xml:space="preserve">	5358-2</t>
  </si>
  <si>
    <t>427.1  5358-2  2015</t>
  </si>
  <si>
    <t>8100105A030297;4142(105);L001</t>
  </si>
  <si>
    <t>日本餐酒誌 : 跟著ssi酒匠與日本料理專家尋訪地酒美食 / 歐子豪, 渡?人美著臺北市 : 積木文化出版 : 2015[民104]</t>
  </si>
  <si>
    <t>歐子豪</t>
  </si>
  <si>
    <t xml:space="preserve">	9789864590162</t>
  </si>
  <si>
    <t xml:space="preserve">	7710</t>
  </si>
  <si>
    <t>538.74  7710  2015</t>
  </si>
  <si>
    <t>和食古早味 : 你不知道的日本料理故事 / 胡川安著臺北市 : 時報, 2015[民104]</t>
  </si>
  <si>
    <t>胡川安</t>
  </si>
  <si>
    <t xml:space="preserve">_x001E_時報, </t>
  </si>
  <si>
    <t xml:space="preserve">	9789571364483</t>
  </si>
  <si>
    <t xml:space="preserve">	4723</t>
  </si>
  <si>
    <t>538.7831  4723  2015</t>
  </si>
  <si>
    <t>移動小灶咖!零廚藝也不失手的燜燒杯x美食鍋料理 / 張涵茵著新北市 : 活泉書坊出版 : 2015[民104]</t>
  </si>
  <si>
    <t>張涵茵</t>
  </si>
  <si>
    <t xml:space="preserve">_x001E_采舍國際總代理, </t>
  </si>
  <si>
    <t xml:space="preserve">	9789862716038</t>
  </si>
  <si>
    <t xml:space="preserve">	1134</t>
  </si>
  <si>
    <t>427.1  1134  2015</t>
  </si>
  <si>
    <t>我的丹麥廚房 / angel joergensen著 ; 嚴葳攝影臺北市 : 麥浩斯出版 : 2014[民103]</t>
  </si>
  <si>
    <t>嚴葳</t>
  </si>
  <si>
    <t xml:space="preserve">	9789865802851</t>
  </si>
  <si>
    <t xml:space="preserve">	7731</t>
  </si>
  <si>
    <t>427.07  7731  2014</t>
  </si>
  <si>
    <t>露營野炊料理全書 / 尹銀淑著 ; 具子權攝影 ; joung譯新北市 : 瑞麗美人,檸檬樹, 2016[民105]</t>
  </si>
  <si>
    <t>Joung</t>
  </si>
  <si>
    <t xml:space="preserve">_x001E_瑞麗美人,檸檬樹, </t>
  </si>
  <si>
    <t xml:space="preserve">	9789869243469</t>
  </si>
  <si>
    <t xml:space="preserve">	1783</t>
  </si>
  <si>
    <t>992.78  1783  2016</t>
  </si>
  <si>
    <t>春夏秋冬,日日食光。生活美學家的鑄鐵鍋料理手帖 / 渡邊有子著 ; 游韻馨譯臺北市 : 臉譜,城邦文化出版 : 2016[民105]</t>
  </si>
  <si>
    <t>渡邊有子</t>
  </si>
  <si>
    <t xml:space="preserve">_x001E_臉譜,城邦文化出版 : </t>
  </si>
  <si>
    <t xml:space="preserve">	9789862354964</t>
  </si>
  <si>
    <t xml:space="preserve">	3341-2</t>
  </si>
  <si>
    <t>427.1  3341-2  2016</t>
  </si>
  <si>
    <t>8100105A090325;教學卓越計畫(105);L001</t>
  </si>
  <si>
    <t>好想幫你帶便當 = blue's blue kitchen lunchbox recipes / 布魯媽媽(lina)文字.攝影臺北市 : 布克文化出版 : 2016[民105]</t>
  </si>
  <si>
    <t>布魯媽媽</t>
  </si>
  <si>
    <t xml:space="preserve">_x001E_布克文化出版 : </t>
  </si>
  <si>
    <t xml:space="preserve">	9789865728823</t>
  </si>
  <si>
    <t xml:space="preserve">	4244:2</t>
  </si>
  <si>
    <t>427.1  4244:2  2016</t>
  </si>
  <si>
    <t>8100105A101117;教學卓越計畫(105);L001</t>
  </si>
  <si>
    <t>一鍋到底!小資族美味電鍋料理100道 / 黃美惠著臺北市 : 臺灣東販, 2016</t>
  </si>
  <si>
    <t>黃美惠</t>
  </si>
  <si>
    <t xml:space="preserve">_x001E_臺灣東販, </t>
  </si>
  <si>
    <t xml:space="preserve">	9789864751570</t>
  </si>
  <si>
    <t xml:space="preserve">	4485:3</t>
  </si>
  <si>
    <t>427.1  4485:3  2016</t>
  </si>
  <si>
    <t>5分鐘即食!萬用保鮮盒做一週料理 : 食材保存、快速上菜、季節醃漬、手殘甜點,一盒搞定 / 楊賢英著臺北市 : 麥浩斯出版 : 2016[民105]</t>
  </si>
  <si>
    <t xml:space="preserve">	9789864081653</t>
  </si>
  <si>
    <t xml:space="preserve">	4674</t>
  </si>
  <si>
    <t>427.1  4674  2016</t>
  </si>
  <si>
    <t>8100105A090828;教學卓越計畫(105);L001</t>
  </si>
  <si>
    <t>人少好做飯 = fast&amp;easy rice solutions : 100道小家庭輕鬆飯料理 / 周維民總編輯 ; 蕭維剛攝影臺北市 : 庫立馬媒體科技出版 : 2014[民103]</t>
  </si>
  <si>
    <t>周維民</t>
  </si>
  <si>
    <t xml:space="preserve">_x001E_楨德總經銷, </t>
  </si>
  <si>
    <t xml:space="preserve">	9789869015233</t>
  </si>
  <si>
    <t xml:space="preserve">	7727</t>
  </si>
  <si>
    <t>427.35  7727  2014</t>
  </si>
  <si>
    <t>米其林主廚的海鮮全事典 : 從選材到上菜零失誤的151道經典魚料理保證班 / 班.波林傑(ben pollinger)著 ; 翁雅如譯臺北市 : 大寫出版 : 2015[民104]</t>
  </si>
  <si>
    <t>波林杰(Pollinger, Ben)</t>
  </si>
  <si>
    <t xml:space="preserve">	9789865695361</t>
  </si>
  <si>
    <t xml:space="preserve">	3444</t>
  </si>
  <si>
    <t>427.25  3444  2015</t>
  </si>
  <si>
    <t>渡邊麻紀的湯品與燉煮料理 : 藍帶廚藝學院名師親自傳授 / 渡邊麻紀著 ; 程馨頤譯臺北市 ; 新北市 : 橘子出版 : 2016[民105]</t>
  </si>
  <si>
    <t>渡邊麻紀</t>
  </si>
  <si>
    <t xml:space="preserve">_x001E_橘子出版 : </t>
  </si>
  <si>
    <t xml:space="preserve">	9789863640943</t>
  </si>
  <si>
    <t xml:space="preserve">	3302</t>
  </si>
  <si>
    <t>427.1  3302  2016</t>
  </si>
  <si>
    <t>8100106A020111;4142(106);L001</t>
  </si>
  <si>
    <t>蔬食好料理 : 創意食譜,健康美味你能做! / 吳黎華食譜設計示範臺北市 : 董氏基金會&lt;&lt;大家健康&gt;&gt;雜誌, 2015</t>
  </si>
  <si>
    <t>吳黎華</t>
  </si>
  <si>
    <t xml:space="preserve">_x001E_董氏基金會&lt;&lt;大家健康&gt;&gt;雜誌, </t>
  </si>
  <si>
    <t xml:space="preserve">	9789869043243</t>
  </si>
  <si>
    <t xml:space="preserve">	2624</t>
  </si>
  <si>
    <t>427.31  2624  2015</t>
  </si>
  <si>
    <t>我家也有蔬食餐廳 : 養心茶樓主廚詹昇霖教你在家輕鬆做出少油、身體無負擔、符合健康潮流的60道五星級素食料理 / 詹昇霖著臺北市 : 時報文化, 2016[民105]</t>
  </si>
  <si>
    <t>詹昇霖</t>
  </si>
  <si>
    <t xml:space="preserve">	9789571368092</t>
  </si>
  <si>
    <t xml:space="preserve">	2761</t>
  </si>
  <si>
    <t>427.31  2761  2016</t>
  </si>
  <si>
    <t>8100106A030604;4142(106);L001</t>
  </si>
  <si>
    <t>thai cuisine泰式料理3步驟 / 裘蒂.凡賽蘿(jody vassallo)作 ; 高育甯譯新北市 : 和平國際, 2014[民103]</t>
  </si>
  <si>
    <t>凡賽蘿(Vassallo, Jody)</t>
  </si>
  <si>
    <t xml:space="preserve">_x001E_和平國際, </t>
  </si>
  <si>
    <t xml:space="preserve">	9789863710042</t>
  </si>
  <si>
    <t xml:space="preserve">	7734</t>
  </si>
  <si>
    <t>427.1382  7734  2014</t>
  </si>
  <si>
    <t>泰式料理全書 = the thai cooking book : 經典泰國菜x皇室甜點70道 : 正統泰國菜x太美味料理祕訣全收錄 : authentic thai cuisine / 於美芮著臺北市 : 帕斯頓數位多媒體, 2016[民105]</t>
  </si>
  <si>
    <t>于美芮</t>
  </si>
  <si>
    <t xml:space="preserve">_x001E_帕斯頓數位多媒體, </t>
  </si>
  <si>
    <t xml:space="preserve">	9789869229920</t>
  </si>
  <si>
    <t xml:space="preserve">	1084</t>
  </si>
  <si>
    <t>427.1382  1084  2016</t>
  </si>
  <si>
    <t>泰國廚藝小旅行 : 來去泰國學料理 / 於美芮著臺北市 : 健行文化出版 : 2016[民105]</t>
  </si>
  <si>
    <t xml:space="preserve">	9789869300827</t>
  </si>
  <si>
    <t>427.07  1084  2016</t>
  </si>
  <si>
    <t>請用,西班牙海鮮飯 / 陳璜(juan manuel rial paz),陳喬著新北市 : 奇光出版 : 2016[民105]</t>
  </si>
  <si>
    <t>陳喬</t>
  </si>
  <si>
    <t xml:space="preserve">	9789869276122</t>
  </si>
  <si>
    <t xml:space="preserve">	7514</t>
  </si>
  <si>
    <t>427.12  7514  2016</t>
  </si>
  <si>
    <t>帝國與料理 / 瑞秋.勞丹(rachel laudan)著 ; 馮奕達譯新北市 : 八旗, 2017[民106]</t>
  </si>
  <si>
    <t>勞丹(Laudan, Rachel)</t>
  </si>
  <si>
    <t xml:space="preserve">_x001E_八旗, </t>
  </si>
  <si>
    <t>2017[民106]</t>
  </si>
  <si>
    <t xml:space="preserve">	9789869384490</t>
  </si>
  <si>
    <t xml:space="preserve">	9977</t>
  </si>
  <si>
    <t>538.7  9977  2017</t>
  </si>
  <si>
    <t>看得見的滋味 : infographic世界最受歡迎美食的故事、數據與視覺資訊圖表 : 老饕必備的食材與美食歷史、文化、食譜、料理技巧、最新潮流 / 蘿拉.洛威(laura rowe)著 ; 鄭百雅譯臺北市 : 漫遊者文化出版 : 2016[民105]</t>
  </si>
  <si>
    <t>洛威(Rowe, Laura)</t>
  </si>
  <si>
    <t xml:space="preserve">	9789869310444</t>
  </si>
  <si>
    <t xml:space="preserve">	3753</t>
  </si>
  <si>
    <t>411.3  3753  2016</t>
  </si>
  <si>
    <t>川揚菜料理 / 王添滿著新北市 : 三藝, 2017</t>
  </si>
  <si>
    <t>王添滿</t>
  </si>
  <si>
    <t xml:space="preserve">_x001E_三藝, </t>
  </si>
  <si>
    <t xml:space="preserve">	9789869454919</t>
  </si>
  <si>
    <t>427.1127  1033  2017</t>
  </si>
  <si>
    <t>8100106A041077;4142(106);L001</t>
  </si>
  <si>
    <t>深夜女子的公寓料理 / 毛奇著臺北市 : 二魚, 2017[民106]</t>
  </si>
  <si>
    <t>毛奇</t>
  </si>
  <si>
    <t xml:space="preserve">_x001E_二魚, </t>
  </si>
  <si>
    <t xml:space="preserve">	9789865813864</t>
  </si>
  <si>
    <t xml:space="preserve">	2040</t>
  </si>
  <si>
    <t>427.07  2040  2017</t>
  </si>
  <si>
    <t>中餐創意料理 : 食材與料理的創意激盪 / 廖昱翔,曹舜為著臺北市 : 五南, 2016</t>
  </si>
  <si>
    <t>廖昱翔</t>
  </si>
  <si>
    <t xml:space="preserve">_x001E_五南, </t>
  </si>
  <si>
    <t xml:space="preserve">	9789571188201</t>
  </si>
  <si>
    <t xml:space="preserve">	0068</t>
  </si>
  <si>
    <t>427.11  0068  2016</t>
  </si>
  <si>
    <t>澪之料理帖 / 高田郁著 ; 鍾嘉惠譯臺北市 : 臺灣東販, 2014</t>
  </si>
  <si>
    <t>鍾嘉惠</t>
  </si>
  <si>
    <t xml:space="preserve">_x001E_台灣東販, </t>
  </si>
  <si>
    <t xml:space="preserve">	9789863317692</t>
  </si>
  <si>
    <t xml:space="preserve">	0064</t>
  </si>
  <si>
    <t>861.57  0064  2014  v.1</t>
  </si>
  <si>
    <t>8100106A080733;教學卓越計畫(106);L001</t>
  </si>
  <si>
    <t>v.4</t>
  </si>
  <si>
    <t>v.5</t>
  </si>
  <si>
    <t>水煮的全食物料理 / 梁瓊白著新北市 : 雅事文化, 2017[民106]</t>
  </si>
  <si>
    <t xml:space="preserve">_x001E_雅事文化, </t>
  </si>
  <si>
    <t xml:space="preserve">	9789865760663</t>
  </si>
  <si>
    <t xml:space="preserve">	3312-5</t>
  </si>
  <si>
    <t>427.1  3312-5  2017</t>
  </si>
  <si>
    <t>8100106A091208;教學卓越計畫(106);L001</t>
  </si>
  <si>
    <t>居家廚神 : 人氣烹飪實境秀、33道法式經典料理x零失敗職人烹調技巧 / christophe dovergne,damien duquesne著 ; 晏禎譯新北市 : 雙美生活文創, 2017[民106]</t>
  </si>
  <si>
    <t>多韋爾涅(Dovergne, Christophe)</t>
  </si>
  <si>
    <t xml:space="preserve">_x001E_美生活文創, </t>
  </si>
  <si>
    <t xml:space="preserve">	9789869465472</t>
  </si>
  <si>
    <t>427.12  2413  2017</t>
  </si>
  <si>
    <t>假日早午餐輕鬆上桌 / 楊桃文化著臺北市 : 楊桃文化, 2017[民106]</t>
  </si>
  <si>
    <t>楊桃文化</t>
  </si>
  <si>
    <t xml:space="preserve">_x001E_楊桃文化, </t>
  </si>
  <si>
    <t xml:space="preserve">	4712972653523</t>
  </si>
  <si>
    <t xml:space="preserve">	4402-3</t>
  </si>
  <si>
    <t>427.16  4402-3  2017</t>
  </si>
  <si>
    <t>就想回家自己煮 : 主婦聯盟超人氣講師教你30分鐘端出愛的料理，簡單、安心、好好吃 / 林玉霞,趙翊著 ; 王竹君攝影臺北市 : 天下生活, 2017[民106]</t>
  </si>
  <si>
    <t>林玉霞</t>
  </si>
  <si>
    <t xml:space="preserve">_x001E_天下生活, </t>
  </si>
  <si>
    <t xml:space="preserve">	9789869461702</t>
  </si>
  <si>
    <t>427.07  4411  2017</t>
  </si>
  <si>
    <t>新手必學！只用平底鍋，3步驟學?101道日式家常菜 : 一鍋到底，輕鬆快速搞定少油無負擔、簡單又健康的超好吃料理 / 蔣偉文著臺北市 : 日日幸福事業出版 : 2017[民106]</t>
  </si>
  <si>
    <t>蔣偉文</t>
  </si>
  <si>
    <t xml:space="preserve">	9789869456944</t>
  </si>
  <si>
    <t xml:space="preserve">	4420-2</t>
  </si>
  <si>
    <t>427.1  4420-2  2017</t>
  </si>
  <si>
    <t>料理的美味關鍵！資深雙廚駱師傅、龍師傅的126道美味私房菜，名廚烹飪細節、小撇步，一手掌握！ / 超級電視臺作新北市 : 雙美生活文創, 2017[民106]</t>
  </si>
  <si>
    <t xml:space="preserve">	9789869405614</t>
  </si>
  <si>
    <t xml:space="preserve">	4213</t>
  </si>
  <si>
    <t>427.1  4213  2017</t>
  </si>
  <si>
    <t>跟米其林大廚學保鮮盒快沙拉 : 3分鐘上桌！在家就能享受主餐級料理，從備料搭配到調醬技法大公開 / 李玲熙著 ; 陳靖婷譯新北市 : 臺灣廣廈, 2017</t>
  </si>
  <si>
    <t>李玲熙</t>
  </si>
  <si>
    <t xml:space="preserve">_x001E_台灣廣廈, </t>
  </si>
  <si>
    <t xml:space="preserve">	9789861303635</t>
  </si>
  <si>
    <t xml:space="preserve">	4017</t>
  </si>
  <si>
    <t>427.1  4017  2017</t>
  </si>
  <si>
    <t>夢幻廚房在我家 : 手做安心食材x復刻名店美味x進化夢幻料理 / 殷睿聆著臺北市 : 遠流, 2017</t>
  </si>
  <si>
    <t>殷睿聆</t>
  </si>
  <si>
    <t xml:space="preserve">_x001E_遠流, </t>
  </si>
  <si>
    <t xml:space="preserve">	9789573280064</t>
  </si>
  <si>
    <t xml:space="preserve">	2721</t>
  </si>
  <si>
    <t>427.1  2721  2017</t>
  </si>
  <si>
    <t>蒸的料理蒸好吃 / 梁瓊白著新北市 : 雅事文化, 2017</t>
  </si>
  <si>
    <t xml:space="preserve">	9789865760632</t>
  </si>
  <si>
    <t xml:space="preserve">	3312-6</t>
  </si>
  <si>
    <t>427.1  3312-6  2017</t>
  </si>
  <si>
    <t>美好.溫暖.三明治 :44道超乎想像的三明治機驚奇料理 = amazing sandwich /好時光小群煮著臺北市 : 時報文化, 2017</t>
  </si>
  <si>
    <t>好時光小群煮</t>
  </si>
  <si>
    <t xml:space="preserve">	9789571371405</t>
  </si>
  <si>
    <t xml:space="preserve">	4699</t>
  </si>
  <si>
    <t>427.14  4699  2017</t>
  </si>
  <si>
    <t>8100107A040447;4142(107);L001</t>
  </si>
  <si>
    <t>pasta :義大利料理教父傳授廚師生涯五十年最經典的義大利麵料理全書 /安東尼奧.卡路奇歐(antonio carluccio)著 ; 陳思因譯臺北市 :馬可孛羅文化出版 :2017[民106]</t>
  </si>
  <si>
    <t>卡路奇歐(Carluccio, Antonio)</t>
  </si>
  <si>
    <t>_x001E_馬可孛羅文化出版 :</t>
  </si>
  <si>
    <t xml:space="preserve">	9789869510387</t>
  </si>
  <si>
    <t xml:space="preserve">	2647</t>
  </si>
  <si>
    <t>427.38  2647  2017</t>
  </si>
  <si>
    <t>打開冰箱, 有什麼就煮什麼!職業婦女的230招 :日本人氣料理家教你10分鐘做出常備菜、減醣料理、便當菜、配酒菜 /井上香苗著 ; 陳柏瑤譯臺北市 :時報文化,2016[民105]</t>
  </si>
  <si>
    <t>井上香苗</t>
  </si>
  <si>
    <t>_x001E_時報文化,</t>
  </si>
  <si>
    <t xml:space="preserve">	9789571371283</t>
  </si>
  <si>
    <t xml:space="preserve">	5224</t>
  </si>
  <si>
    <t>427.1  5224  2016</t>
  </si>
  <si>
    <t>越熱越美麗!凱鈞老師的抗熱美肌秘笈 /凱鈞著臺北市 :日日幸福事業出版,2017[民106]</t>
  </si>
  <si>
    <t>凱鈞</t>
  </si>
  <si>
    <t>_x001E_日日幸福事業出版,</t>
  </si>
  <si>
    <t xml:space="preserve">	9789869456999</t>
  </si>
  <si>
    <t xml:space="preserve">	2787</t>
  </si>
  <si>
    <t>425  2787  2017</t>
  </si>
  <si>
    <t>蔬食好料理2 :饗瘦健康,樂齡美食你能做! /吳黎華食譜設計示範臺北市 : 董氏基金會&lt;&lt;大家健康&gt;&gt;雜誌, 2017</t>
  </si>
  <si>
    <t xml:space="preserve">	9789869295468</t>
  </si>
  <si>
    <t>427.3  2624  2017</t>
  </si>
  <si>
    <t>sous vide真空低溫烹調 舒肥機料理百科 / 湯瑪斯.n.英格蘭作 ; 游惠玲譯新北市板橋區 : 楓書坊文化, 2018</t>
  </si>
  <si>
    <t>游惠玲</t>
  </si>
  <si>
    <t xml:space="preserve">_x001E_楓書坊文化, </t>
  </si>
  <si>
    <t xml:space="preserve">	9789863773320</t>
  </si>
  <si>
    <t xml:space="preserve">	4444:3</t>
  </si>
  <si>
    <t>427.1  4444:3  2018</t>
  </si>
  <si>
    <t>8100107A040794;4142(107);L001</t>
  </si>
  <si>
    <t>一個日本料理吃貨的自我修養 : 大和民族的「旬」之味, 別說你吃過就懂, 萬種壽司、千種燒烤、蕎麥麵、壽喜燒、和牛、清酒......舌尖上的日本味道,哪些我們還不知道? / 碗丸,中午十三點著臺北市 : 大是文化, 2018</t>
  </si>
  <si>
    <t>中午十三點</t>
  </si>
  <si>
    <t xml:space="preserve">_x001E_大是文化, </t>
  </si>
  <si>
    <t xml:space="preserve">	9789869559881</t>
  </si>
  <si>
    <t xml:space="preserve">	1340</t>
  </si>
  <si>
    <t>538.7831  1340  2018</t>
  </si>
  <si>
    <t>在臺北的韓國餐桌 :韓國人親授,在家也能輕鬆做出四季的韓國料理 /金自然著臺北市 : 高寶國際出版, 2015</t>
  </si>
  <si>
    <t>金自然</t>
  </si>
  <si>
    <t xml:space="preserve">_x001E_高寶國際出版, </t>
  </si>
  <si>
    <t xml:space="preserve">	9789863612254</t>
  </si>
  <si>
    <t xml:space="preserve">	8022</t>
  </si>
  <si>
    <t>427.132  8022  2015</t>
  </si>
  <si>
    <t>我家小廚師的分子料理實驗室 :用洗碗機煮魚?用果凍做麵條?30道好玩又好吃的食譜! /拉斐爾.歐蒙(rapha?l haumount)著 ; 陳蓁美譯新北市 :聯經出版,2017[民106]</t>
  </si>
  <si>
    <t>Haumount, Rapha?l</t>
  </si>
  <si>
    <t>_x001E_聯經出版,</t>
  </si>
  <si>
    <t xml:space="preserve">	9789570850482</t>
  </si>
  <si>
    <t xml:space="preserve">	7744</t>
  </si>
  <si>
    <t>303.4  7744  2017</t>
  </si>
  <si>
    <t>食蔬廚房常備菜 : 滿足味蕾100道高纖蔬食料理點心 / 施建瑋作 ; 周禎和攝影臺北市 : 聯合發行, 2017[民106]</t>
  </si>
  <si>
    <t xml:space="preserve">	9789869527972</t>
  </si>
  <si>
    <t xml:space="preserve">	0811</t>
  </si>
  <si>
    <t>427.31  0811  2017</t>
  </si>
  <si>
    <t>輕盈.減齡.防失智!地中海美味廚房 :掌握飲食金字塔,臺灣家庭也能實踐的健康減醣料理 = mediterranean diet /彭安安作新北市 : 幸福文化, 2018</t>
  </si>
  <si>
    <t>彭安安</t>
  </si>
  <si>
    <t xml:space="preserve">_x001E_幸福文化, </t>
  </si>
  <si>
    <t xml:space="preserve">	9789869578530</t>
  </si>
  <si>
    <t xml:space="preserve">	4233</t>
  </si>
  <si>
    <t>427.16  4233  2018</t>
  </si>
  <si>
    <t>餐桌上的中國史 :歷史有溫度,每天冷熱生猛的現身在我們吃的料理 /張競著 ; 方明生,方祖鴻譯臺北市 : 大是文化, 2017</t>
  </si>
  <si>
    <t>張競</t>
  </si>
  <si>
    <t xml:space="preserve">	9789869531306</t>
  </si>
  <si>
    <t xml:space="preserve">	1100</t>
  </si>
  <si>
    <t>538.782  1100  2017</t>
  </si>
  <si>
    <t>sous vide! 舒肥機中西式料理 : 45道低溫真空烹調食譜 / 金基師著臺北市 : 高寶國際, 2017</t>
  </si>
  <si>
    <t>金基師</t>
  </si>
  <si>
    <t xml:space="preserve">_x001E_高寶國際, </t>
  </si>
  <si>
    <t xml:space="preserve">	9789863614159</t>
  </si>
  <si>
    <t xml:space="preserve">	8042</t>
  </si>
  <si>
    <t>427.1  8042  2017</t>
  </si>
  <si>
    <t>8100107A061599;高教深耕計畫(107);L001</t>
  </si>
  <si>
    <t>日本人妻的無限料理 :用1倍氣力變身3倍創意贏得10倍滿意 /前西希著臺北市 :遠流,2018</t>
  </si>
  <si>
    <t>前西希</t>
  </si>
  <si>
    <t>_x001E_遠流,</t>
  </si>
  <si>
    <t xml:space="preserve">	9789573281924</t>
  </si>
  <si>
    <t xml:space="preserve">	8014</t>
  </si>
  <si>
    <t>427.1  8014  2018</t>
  </si>
  <si>
    <t>款待生活的小鍋料理 / 渡邊真紀著 ; 蔡麗蓉譯臺北市 : 采實文化, 2018</t>
  </si>
  <si>
    <t>渡邊真紀</t>
  </si>
  <si>
    <t xml:space="preserve">	9789578950146</t>
  </si>
  <si>
    <t xml:space="preserve">	3342</t>
  </si>
  <si>
    <t>427.1  3342  2018</t>
  </si>
  <si>
    <t>943窮學生懶人食譜 :輕鬆料理+節省心法=簡單省錢過生活 /就是省(943)著臺北市 : 朱雀文化, 2010</t>
  </si>
  <si>
    <t xml:space="preserve">	9789866780783</t>
  </si>
  <si>
    <t xml:space="preserve">	0369</t>
  </si>
  <si>
    <t>421.1  0369  2010</t>
  </si>
  <si>
    <t>8100107A090511;高教深耕計畫(107);L001</t>
  </si>
  <si>
    <t>京都b級美食 : 體驗關西旅情, 就從在地料理開始 /黃國華著臺北市 : 如何, 2015</t>
  </si>
  <si>
    <t>黃國華</t>
  </si>
  <si>
    <t xml:space="preserve">_x001E_如何, </t>
  </si>
  <si>
    <t xml:space="preserve">	9789861364124</t>
  </si>
  <si>
    <t xml:space="preserve">	4464</t>
  </si>
  <si>
    <t>483.8  4464  2015</t>
  </si>
  <si>
    <t>8100108A030874;4142(108);G000</t>
  </si>
  <si>
    <t>烤箱料理祕藏食譜 : 慢烤入味的美味新發現 /野口真紀著 ; 寺澤太郎攝影 ; 楊裴文譯新北市 : 凱特文化, 2018</t>
  </si>
  <si>
    <t>寺澤太郎</t>
  </si>
  <si>
    <t xml:space="preserve">_x001E_凱特文化, </t>
  </si>
  <si>
    <t xml:space="preserve">	9789869678834</t>
  </si>
  <si>
    <t xml:space="preserve">	6642</t>
  </si>
  <si>
    <t>427.1  6642  2018</t>
  </si>
  <si>
    <t>史上最完整魚類海鮮圖鑑 : 挑選、保存、處理到料理,一本全收錄! /挪亞方舟文化創意工作室著新北市 : 和平國際文化, 2014</t>
  </si>
  <si>
    <t xml:space="preserve">_x001E_和平國際文化, </t>
  </si>
  <si>
    <t xml:space="preserve">	9789865894900</t>
  </si>
  <si>
    <t xml:space="preserve">	5102</t>
  </si>
  <si>
    <t>427.25  5102  2014</t>
  </si>
  <si>
    <t>藥食同源養生食譜 : 日本百年餐廳聘珍樓的75道藥膳料理 /聘珍樓藥膳部著 ; 陸蕙貽譯臺北市 : 太雅, 2018</t>
  </si>
  <si>
    <t>陸蕙貽</t>
  </si>
  <si>
    <t xml:space="preserve">_x001E_太雅, </t>
  </si>
  <si>
    <t xml:space="preserve">	9789863362395</t>
  </si>
  <si>
    <t xml:space="preserve">	1144:2</t>
  </si>
  <si>
    <t>413.98  1144:2  2018</t>
  </si>
  <si>
    <t>8100108A030874;4142(108);BC00</t>
  </si>
  <si>
    <t>食物配對健康加分 : 30種病症預防及食療料理 /蕭千祐審訂推薦新北市 : 人類智庫數位科技 , 2018</t>
  </si>
  <si>
    <t>蕭千祐</t>
  </si>
  <si>
    <t xml:space="preserve">_x001E_人類智庫數位科技 , </t>
  </si>
  <si>
    <t xml:space="preserve">	4715443040778</t>
  </si>
  <si>
    <t xml:space="preserve">	4423:2-2</t>
  </si>
  <si>
    <t>411.3  4423:2-2  2018</t>
  </si>
  <si>
    <t>8100108A030874;4142(108);JC00</t>
  </si>
  <si>
    <t>拉麵 : 一麵入魂的國民料理發展史 / 喬治.索爾特(george solt)著 ; 李昕彥譯新北市 : 八旗文化, 2016</t>
  </si>
  <si>
    <t>Solt, George</t>
  </si>
  <si>
    <t xml:space="preserve">_x001E_八旗文化, </t>
  </si>
  <si>
    <t xml:space="preserve">	9789869356299</t>
  </si>
  <si>
    <t xml:space="preserve">	4012</t>
  </si>
  <si>
    <t>538.7831  4012  2016</t>
  </si>
  <si>
    <t>8100108A040853;4142(108);L001</t>
  </si>
  <si>
    <t>鹽、油、酸、熱 : 融會貫通廚藝四大元素,建立屬於你的料理之道 /莎敏.納斯瑞特(samin nosrat)著 ; 溫蒂.麥克諾頓(wendy macnaughton)插畫; 黃宜貞譯臺北市 : 積木文化, 2018</t>
  </si>
  <si>
    <t>Nosrat, Samin</t>
  </si>
  <si>
    <t xml:space="preserve">	9789864591480</t>
  </si>
  <si>
    <t xml:space="preserve">	2412</t>
  </si>
  <si>
    <t>427  2412  2018</t>
  </si>
  <si>
    <t>1鍋3步驟, 日日料理最簡單的美味提案 : 氣質烹飪家irene教你65道一學就會、一吃就愛的不挑鍋食譜 / 陳秭璇(irene)著臺北市 : 時報文化, 2016</t>
  </si>
  <si>
    <t>陳秭璇(Irene)</t>
  </si>
  <si>
    <t xml:space="preserve">	9789571365916</t>
  </si>
  <si>
    <t xml:space="preserve">	7521:2</t>
  </si>
  <si>
    <t>427.1  7521:2  2016</t>
  </si>
  <si>
    <t>8100108A040395;4142(108);L001</t>
  </si>
  <si>
    <t>365日日食材&amp;藥膳事典 : 中醫教你用200種日常食材/藥材+300道料理對症食療, 節氣調養, 改變體質 / 陳潮宗, 中華民國中醫師公會全聯會著臺北市 : 常常生活文創, 2019[民108]</t>
  </si>
  <si>
    <t>中華民國中醫師公會全聯會</t>
  </si>
  <si>
    <t xml:space="preserve">_x001E_常常生活文創, </t>
  </si>
  <si>
    <t>2019[民108]</t>
  </si>
  <si>
    <t xml:space="preserve">	9789869620062</t>
  </si>
  <si>
    <t xml:space="preserve">	7533-3</t>
  </si>
  <si>
    <t>413.98  7533-3  2019</t>
  </si>
  <si>
    <t>幸福小鍋食堂 : 湯鍋、麵點、炊飯、減醣鍋、無水料理, 77道原味且營養的鍋物 / 陳秭璇著臺北市 : 悅知文化, 2019</t>
  </si>
  <si>
    <t>陳秭璇</t>
  </si>
  <si>
    <t xml:space="preserve">	9789578787865</t>
  </si>
  <si>
    <t xml:space="preserve">	7521:2-2</t>
  </si>
  <si>
    <t>427.1  7521:2-2  2019</t>
  </si>
  <si>
    <t>一日三餐減醣料理 : 單週無壓力消失2kg的美味計劃,72道低醣速瘦搭配餐 / 娜塔(nata)著臺北市 : 悅知文化, 2018</t>
  </si>
  <si>
    <t>娜塔</t>
  </si>
  <si>
    <t xml:space="preserve">	9789578787322</t>
  </si>
  <si>
    <t xml:space="preserve">	4744:2</t>
  </si>
  <si>
    <t>427.1  4744:2  2018</t>
  </si>
  <si>
    <t>一次學會刀工料理 :教你煮出一桌好菜 : 切絲、切丁、滾刀塊、片肉、片魚 /陳秉文著新北市 :雙美生活文創, 2017</t>
  </si>
  <si>
    <t>陳秉文</t>
  </si>
  <si>
    <t xml:space="preserve">	9789869511186</t>
  </si>
  <si>
    <t xml:space="preserve">	7520</t>
  </si>
  <si>
    <t>427.8  7520  2017</t>
  </si>
  <si>
    <t>大英暗黑料理大全 : 烤孔雀、活蛙派、煎腦渣, 和紫色毒梨子!倫敦市政圖書館館長揭祕100道歷史上驚人食譜 / 彼得.羅斯(peter ross)著 ; 鄭煥昇譯新北市 : 聯經, 2018</t>
  </si>
  <si>
    <t>Ross, Peter</t>
  </si>
  <si>
    <t xml:space="preserve">_x001E_聯經, </t>
  </si>
  <si>
    <t xml:space="preserve">	9789570851618</t>
  </si>
  <si>
    <t>427.12  6042  2018</t>
  </si>
  <si>
    <t>中醫師教你怎麼吃!生酮低醣減碳料理 : 50道超easy的中西食譜 / 陳俊如, 林祐禎著新北市 : 出色文化, 2019</t>
  </si>
  <si>
    <t>林祐禎</t>
  </si>
  <si>
    <t xml:space="preserve">_x001E_出色文化, </t>
  </si>
  <si>
    <t xml:space="preserve">	9789869695664</t>
  </si>
  <si>
    <t xml:space="preserve">	7524:2</t>
  </si>
  <si>
    <t>413.98  7524:2  2019</t>
  </si>
  <si>
    <t>我的第一本西餐料理書 / 薩巴蒂娜主編新北市 : 草原文創,  2019</t>
  </si>
  <si>
    <t>薩巴蒂娜</t>
  </si>
  <si>
    <t xml:space="preserve">_x001E_草原文創,  </t>
  </si>
  <si>
    <t xml:space="preserve">	9789869726702</t>
  </si>
  <si>
    <t xml:space="preserve">	4744</t>
  </si>
  <si>
    <t>427.12  4744  2019</t>
  </si>
  <si>
    <t>香料食療不生病 : 用廚房常見的香料做料理,減壓、補血、除濕、排毒、治小病 / 歐陽誠著 ; 廖家威攝影新北市 : 幸福, 2018</t>
  </si>
  <si>
    <t xml:space="preserve">_x001E_幸福, </t>
  </si>
  <si>
    <t xml:space="preserve">	9789869668040</t>
  </si>
  <si>
    <t xml:space="preserve">	7770</t>
  </si>
  <si>
    <t>427.61  7770  2018</t>
  </si>
  <si>
    <t>最想學會的世界經典蛋料理 : 沙拉、蛋餅、主菜主食、各國早午餐輕食, 一次吃飽飽 /洪白陽(cc老師)著臺北市 : 朱雀文化, 2018</t>
  </si>
  <si>
    <t>CC老師</t>
  </si>
  <si>
    <t xml:space="preserve">	9789869671880</t>
  </si>
  <si>
    <t xml:space="preserve">	3427</t>
  </si>
  <si>
    <t>427.26  3427  2018</t>
  </si>
  <si>
    <t>暖食餐桌, 在我家 : 110道中西日式料理簡單上桌, 今天也要好好吃飯! /徐銘志文字．料理．攝影, 林煜幃攝影臺北市 : 有鹿文化, 2018</t>
  </si>
  <si>
    <t>徐銘志</t>
  </si>
  <si>
    <t xml:space="preserve">_x001E_有鹿文化, </t>
  </si>
  <si>
    <t xml:space="preserve">	9789869677622</t>
  </si>
  <si>
    <t xml:space="preserve">	2884</t>
  </si>
  <si>
    <t>427.1  2884  2018</t>
  </si>
  <si>
    <t>經典法式料理 : 日本人氣餐廳的前菜、主餐、點心85道 / 谷昇著 ; 安珀譯臺北市 : 臺灣東販, 2019</t>
  </si>
  <si>
    <t>安珀</t>
  </si>
  <si>
    <t xml:space="preserve">	9789864759156</t>
  </si>
  <si>
    <t xml:space="preserve">	8060</t>
  </si>
  <si>
    <t>427.12  8060  2019</t>
  </si>
  <si>
    <t>餐桌上的77個料理常識 / la main雜誌編輯部著 ; 黃薇之譯臺北市 : 采實文化, 2017</t>
  </si>
  <si>
    <t>黃薇之</t>
  </si>
  <si>
    <t xml:space="preserve">	9789869501804</t>
  </si>
  <si>
    <t xml:space="preserve">	4443</t>
  </si>
  <si>
    <t>427.25  4443  2017  v.1</t>
  </si>
  <si>
    <t>一個烤箱就搞定!省時料理輕鬆上菜 =everday cooking with an oven. /missta著新北市 : 大眾國際書局, 2019</t>
  </si>
  <si>
    <t>Missta</t>
  </si>
  <si>
    <t xml:space="preserve">_x001E_大眾國際書局, </t>
  </si>
  <si>
    <t xml:space="preserve">	9789863019008</t>
  </si>
  <si>
    <t xml:space="preserve">	1298</t>
  </si>
  <si>
    <t>427.1  1298  2019</t>
  </si>
  <si>
    <t>編目處理中</t>
  </si>
  <si>
    <t>冰箱常備食材料理百科 : 40種萬用百搭好食材指南，200道便當菜、家常菜輕鬆上桌 /韓銀子(韓可露), 宋芝炫(在美媽媽)著; 陳品芳譯臺北市 : 采實文化, 2018</t>
  </si>
  <si>
    <t>在美媽媽</t>
  </si>
  <si>
    <t xml:space="preserve">	9789578950566</t>
  </si>
  <si>
    <t xml:space="preserve">	4481</t>
  </si>
  <si>
    <t>427.1  4481  2018</t>
  </si>
  <si>
    <t>愛妻瘦身便當 : 貝蒂教你料理新手也能輕鬆搞定好吃、不胖、吸睛、低卡便當，110道料理健康剷肉1年16公斤 / 貝蒂做便當著新北市 : 野人文化, 2018</t>
  </si>
  <si>
    <t>貝蒂做便當</t>
  </si>
  <si>
    <t xml:space="preserve">_x001E_野人文化, </t>
  </si>
  <si>
    <t xml:space="preserve">	9789863842798</t>
  </si>
  <si>
    <t xml:space="preserve">	6422</t>
  </si>
  <si>
    <t>427.17  6422  2018</t>
  </si>
  <si>
    <t>美味飯盒[錄影資料] / 林美慧主持臺北市 : 臺視文化, 199?</t>
  </si>
  <si>
    <t>林美慧</t>
  </si>
  <si>
    <t xml:space="preserve">_x001E_台視文化, </t>
  </si>
  <si>
    <t>199?</t>
  </si>
  <si>
    <t>台中總館視聽區</t>
  </si>
  <si>
    <t>VC</t>
  </si>
  <si>
    <t>VC  427.11  4485  v.2</t>
  </si>
  <si>
    <t>V可借視聽</t>
  </si>
  <si>
    <t>DD</t>
  </si>
  <si>
    <t>南極料理人[錄影資料] = the chef of south polar / 沖田修一導演臺北市 : 嘉勳實業, 2009[民98]</t>
  </si>
  <si>
    <t>雅人</t>
  </si>
  <si>
    <t xml:space="preserve">_x001E_嘉勳實業, </t>
  </si>
  <si>
    <t xml:space="preserve">	4491</t>
  </si>
  <si>
    <t>DD  987.83  4491  2009</t>
  </si>
  <si>
    <t>81003A0B08B0;教學卓越計畫(103);L001</t>
  </si>
  <si>
    <t>養生藥膳 : 隨手可得,隨時可做的健康料理 / 岡村綠著 ; 鍾憲譯臺北市 : 遠流, 民82</t>
  </si>
  <si>
    <t>岡村綠</t>
  </si>
  <si>
    <t>民82</t>
  </si>
  <si>
    <t xml:space="preserve">	9573218496</t>
  </si>
  <si>
    <t>北港圖書分館書庫</t>
  </si>
  <si>
    <t xml:space="preserve">	8230</t>
  </si>
  <si>
    <t>418.91  8230</t>
  </si>
  <si>
    <t>針對骨質疏鬆症的強鈣料理 / 宗像伸子著 ; 林芸譯臺北市 ; 臺北縣板橋市 : 主婦之友出版 : 1998[民87]</t>
  </si>
  <si>
    <t>宗像伸子</t>
  </si>
  <si>
    <t xml:space="preserve">_x001E_錦德總經銷, </t>
  </si>
  <si>
    <t xml:space="preserve">	9574940489</t>
  </si>
  <si>
    <t xml:space="preserve">	3221</t>
  </si>
  <si>
    <t>416.252  3221</t>
  </si>
  <si>
    <t>茶料理 / 魯欽甫編著 ; samuel wong wai leung英譯臺北市 ; 臺北縣板橋市 : 孩子王出版 : 1998[民87]</t>
  </si>
  <si>
    <t>Leung, Samuel Wong Wai</t>
  </si>
  <si>
    <t xml:space="preserve">	9578773145</t>
  </si>
  <si>
    <t xml:space="preserve">	2785</t>
  </si>
  <si>
    <t>427.11  2785</t>
  </si>
  <si>
    <t>order日本料理有學問 : 出國點菜嘛也通! / 田心瑩採訪撰文臺北縣中和市 : 橘子出版 : 1998[民87]</t>
  </si>
  <si>
    <t>田心瑩</t>
  </si>
  <si>
    <t xml:space="preserve">	9578401280</t>
  </si>
  <si>
    <t xml:space="preserve">	6039</t>
  </si>
  <si>
    <t>538.7831  6039</t>
  </si>
  <si>
    <t>81007A0DD0;(96);L002</t>
  </si>
  <si>
    <t>日本火車便當 / 張瑞文食譜臺北市 : 楊桃文化, 2004[民93]</t>
  </si>
  <si>
    <t>張瑞文</t>
  </si>
  <si>
    <t xml:space="preserve">	9867853695</t>
  </si>
  <si>
    <t xml:space="preserve">	1110</t>
  </si>
  <si>
    <t>427.131  1110</t>
  </si>
  <si>
    <t>電鍋料理健康又美味 / 林清茶著臺北縣新店市 : 鼎鑑文化出版 : 2009[民98]</t>
  </si>
  <si>
    <t>林清茶</t>
  </si>
  <si>
    <t xml:space="preserve">_x001E_鼎鑑文化出版 : </t>
  </si>
  <si>
    <t xml:space="preserve">	4434-3</t>
  </si>
  <si>
    <t>427.1  4434-3  2009</t>
  </si>
  <si>
    <t>81009A0DN2;教學卓越計畫(98);L002</t>
  </si>
  <si>
    <t>簡單快速的平底鍋料理 / 檢見崎聰美著臺北縣板橋市 : 楓書坊文化, 2009[民98]</t>
  </si>
  <si>
    <t>檢見崎聰美</t>
  </si>
  <si>
    <t xml:space="preserve">	9789866485138</t>
  </si>
  <si>
    <t xml:space="preserve">	4621:2</t>
  </si>
  <si>
    <t>427.1  4621:2  2009</t>
  </si>
  <si>
    <t>愛上素食好簡單 = vegetable foods / 邱秋月, 蘇鼎雅著臺北市 : 旗林文化, 2010[民99]</t>
  </si>
  <si>
    <t>蘇鼎雅</t>
  </si>
  <si>
    <t xml:space="preserve">_x001E_旗林文化, </t>
  </si>
  <si>
    <t xml:space="preserve">	9789866655913</t>
  </si>
  <si>
    <t>427.31  7727  2010</t>
  </si>
  <si>
    <t>好吃 / 張淑貞總編輯臺北市 : 麥浩斯出版, 2010[民99]-2011[100]</t>
  </si>
  <si>
    <t>張淑貞</t>
  </si>
  <si>
    <t xml:space="preserve">_x001E_麥浩斯出版, </t>
  </si>
  <si>
    <t>2010[民99]-2011[100]</t>
  </si>
  <si>
    <t xml:space="preserve">	1132</t>
  </si>
  <si>
    <t>427.25  1132  2011  v.5</t>
  </si>
  <si>
    <t>81001A00K3;教學卓越計畫(100);BCAA</t>
  </si>
  <si>
    <t>大丈夫!陳德烈的45道犀利食譜 : 料理節目教會我的15分鐘上菜術 / 陳德烈著臺北市 : 推守文化出版 : 2011[民100]</t>
  </si>
  <si>
    <t xml:space="preserve">_x001E_高寶總經銷, </t>
  </si>
  <si>
    <t xml:space="preserve">	9789866570520</t>
  </si>
  <si>
    <t xml:space="preserve">	7521</t>
  </si>
  <si>
    <t>427.1  7521  2011</t>
  </si>
  <si>
    <t>81001A00G1;教學卓越計畫(100);BCAA</t>
  </si>
  <si>
    <t>科學料理王 / studio animal文.圖 ; 徐月珠譯臺北市 : 三采文化, 2012</t>
  </si>
  <si>
    <t>徐月珠(語言學)</t>
  </si>
  <si>
    <t xml:space="preserve">	9789862297537</t>
  </si>
  <si>
    <t xml:space="preserve">	9353</t>
  </si>
  <si>
    <t>307.9  9353  2012  v.5</t>
  </si>
  <si>
    <t>81001A0CS7;教學卓越計畫(101);L002</t>
  </si>
  <si>
    <t>廚房裡的小科學家 / 學研原作 ; 鄭涵壬, 姜柏如譯臺北市 : 三采文化, 2012-</t>
  </si>
  <si>
    <t>姜柏如</t>
  </si>
  <si>
    <t>2012-</t>
  </si>
  <si>
    <t xml:space="preserve">	9789862294222</t>
  </si>
  <si>
    <t xml:space="preserve">	7711</t>
  </si>
  <si>
    <t>303.4  7711  2012  v.4</t>
  </si>
  <si>
    <t>風味事典 : 食材配對.食譜與料理創意全書 / 妮姬.薩格尼特(niki segnit)著 ; 蕭秀姍,黎敏中譯臺北市 : 商周出版 : 2012[民101]</t>
  </si>
  <si>
    <t>蕭秀姍</t>
  </si>
  <si>
    <t xml:space="preserve">_x001E_家庭傳媒城邦分公司發行, </t>
  </si>
  <si>
    <t xml:space="preserve">	9789861217321</t>
  </si>
  <si>
    <t xml:space="preserve">	4472</t>
  </si>
  <si>
    <t>427  4472  2012</t>
  </si>
  <si>
    <t>體內環保代謝餐 : 體內環保的50道輕食料理 / 林秋香著新北市 : 雅書堂文化, 2012[民101]</t>
  </si>
  <si>
    <t>林秋香</t>
  </si>
  <si>
    <t xml:space="preserve">	9789866247392</t>
  </si>
  <si>
    <t>427.31  4422  2012</t>
  </si>
  <si>
    <t>日本人妻邊惠玉教你做 : 家庭幸福料理154道 / 邊惠玉著 ; 邱淑怡譯臺北市 : 精誠資訊, 2012[民101]</t>
  </si>
  <si>
    <t>邊惠玉</t>
  </si>
  <si>
    <t xml:space="preserve">	9789866072680</t>
  </si>
  <si>
    <t xml:space="preserve">	3651</t>
  </si>
  <si>
    <t>427.131  3651  2012</t>
  </si>
  <si>
    <t>打造黃金腦 : 孩子最愛的補腦料理135 / 尹希禎著 ; 兩兩譯新北市 : 遠足文化, 2012[民101]</t>
  </si>
  <si>
    <t>兩兩</t>
  </si>
  <si>
    <t xml:space="preserve">	9789866731921</t>
  </si>
  <si>
    <t xml:space="preserve">	1743</t>
  </si>
  <si>
    <t>427.1  1743  2012</t>
  </si>
  <si>
    <t>貧窮主婦的美味料理日記 / 得能史子著 ; 王麗芳譯臺北市 ; 臺北縣新店市 : 聯經出版 : 2012</t>
  </si>
  <si>
    <t>得能史子</t>
  </si>
  <si>
    <t xml:space="preserve">_x001E_聯經出版 : </t>
  </si>
  <si>
    <t xml:space="preserve">	9789570840698</t>
  </si>
  <si>
    <t xml:space="preserve">	2251-2</t>
  </si>
  <si>
    <t>861.67  2251-2  2012</t>
  </si>
  <si>
    <t>81001A1902;教學卓越計畫(101);BCAA</t>
  </si>
  <si>
    <t>李佳其</t>
  </si>
  <si>
    <t xml:space="preserve">_x001E_四塊玉文化, </t>
  </si>
  <si>
    <t xml:space="preserve">	9789865923211</t>
  </si>
  <si>
    <t xml:space="preserve">	4024</t>
  </si>
  <si>
    <t>427.131  4024  2013</t>
  </si>
  <si>
    <t>81002A0931;教學卓越計畫(102);L002</t>
  </si>
  <si>
    <t>30分鐘,動手做醃漬料理 / amanda著臺中市 ; 臺北市 : 晨星出版 : 2013</t>
  </si>
  <si>
    <t>亞曼達(Amanda)</t>
  </si>
  <si>
    <t xml:space="preserve">_x001E_知己圖書總經銷, </t>
  </si>
  <si>
    <t xml:space="preserve">	9789861776774</t>
  </si>
  <si>
    <t xml:space="preserve">	1063</t>
  </si>
  <si>
    <t>427.75  1063  2013</t>
  </si>
  <si>
    <t>最想在家裡做88道洋食料理 : 教您輕輕鬆鬆做出屬於自己的味道! / 大宮勝雄著 ; 林欣瀅譯新北市 : 楓書坊文化, 2013[民102]</t>
  </si>
  <si>
    <t>大宮勝雄</t>
  </si>
  <si>
    <t xml:space="preserve">	9789865973605</t>
  </si>
  <si>
    <t xml:space="preserve">	4374</t>
  </si>
  <si>
    <t>427.131  4374  2013</t>
  </si>
  <si>
    <t>大家都愛的蔬食料理 / 王舒俞著臺北市 : 養沛出版 : 2013[民102]</t>
  </si>
  <si>
    <t xml:space="preserve">_x001E_養沛出版 : </t>
  </si>
  <si>
    <t xml:space="preserve">	9789866247637</t>
  </si>
  <si>
    <t>427.31  1088  2013</t>
  </si>
  <si>
    <t>低卡少油省荷包!懶人料理馬鈴薯365變! / 陳師蘭著 ; 林許文二攝影臺北市 : 柿子文化, 2013[民102]</t>
  </si>
  <si>
    <t>林許文二</t>
  </si>
  <si>
    <t xml:space="preserve">_x001E_柿子文化, </t>
  </si>
  <si>
    <t xml:space="preserve">	9789866191374</t>
  </si>
  <si>
    <t>427.3  7524  2013</t>
  </si>
  <si>
    <t>81002A0MW9;教學卓越計畫(102);L002</t>
  </si>
  <si>
    <t>81001A0YU1;教學卓越計畫(101);BCAA</t>
  </si>
  <si>
    <t>百分百絞肉料理 : 不用刀工的簡易美食 / 梁瓊白著新北市 : 雅事文化 : 2012[民101]</t>
  </si>
  <si>
    <t xml:space="preserve">_x001E_雅事文化 : </t>
  </si>
  <si>
    <t xml:space="preserve">	9789866506796</t>
  </si>
  <si>
    <t xml:space="preserve">	3312</t>
  </si>
  <si>
    <t>427.2  3312  2012</t>
  </si>
  <si>
    <t>省水省電美味料理輕鬆做 / 成美堂出版編輯部著 ; 王華懋譯臺北市 : 本事文化, 民101</t>
  </si>
  <si>
    <t>王華懋</t>
  </si>
  <si>
    <t xml:space="preserve">_x001E_本事文化, </t>
  </si>
  <si>
    <t>民101</t>
  </si>
  <si>
    <t xml:space="preserve">	9789866118340</t>
  </si>
  <si>
    <t xml:space="preserve">	5389</t>
  </si>
  <si>
    <t>427.1  5389  2012</t>
  </si>
  <si>
    <t>料理摩人電冰箱的菜櫥子 : 10分鐘輕鬆上桌 / 電冰箱(simon)著臺北市 : 如何出厲 : 2012[民101]</t>
  </si>
  <si>
    <t>電冰箱(Simon)</t>
  </si>
  <si>
    <t xml:space="preserve">_x001E_如何出厲 : </t>
  </si>
  <si>
    <t xml:space="preserve">	9789861363288</t>
  </si>
  <si>
    <t xml:space="preserve">	1038</t>
  </si>
  <si>
    <t>427.1  1038  2012</t>
  </si>
  <si>
    <t>平底鍋的美味麵點料理 / 柳澤英子著 ; 珂辰譯新北市 : 繪虹企業, 2012[民101]</t>
  </si>
  <si>
    <t>柳澤英子</t>
  </si>
  <si>
    <t xml:space="preserve">_x001E_繪虹企業, </t>
  </si>
  <si>
    <t xml:space="preserve">	9789868802711</t>
  </si>
  <si>
    <t xml:space="preserve">	4341</t>
  </si>
  <si>
    <t>427.16  4341  2012</t>
  </si>
  <si>
    <t>81001A0V64;教學卓越計畫(101);BCAA</t>
  </si>
  <si>
    <t>好吃宴客素 / 林美慧著新北市 : 養沛文化館, 2012[民101]</t>
  </si>
  <si>
    <t xml:space="preserve">	9789866247446</t>
  </si>
  <si>
    <t>427.31  4485-4  2012</t>
  </si>
  <si>
    <t>好評超人氣88道平底鍋料理 / 陳德烈著新北市 : 幸福文化出版 : 2012[民101]</t>
  </si>
  <si>
    <t xml:space="preserve">	9789868826229</t>
  </si>
  <si>
    <t>427.1  7521  2012</t>
  </si>
  <si>
    <t>星級主廚教你做料理. 義大利麵&amp;肉料理篇 / 松崗知子編集 ; 沙子芳翻譯新北市板橋區 ; 新北市中和區 : 楓樹林出版 : 2012[民101]</t>
  </si>
  <si>
    <t>松崗知子</t>
  </si>
  <si>
    <t xml:space="preserve">_x001E_楓樹林出版 : </t>
  </si>
  <si>
    <t xml:space="preserve">	9789866023224</t>
  </si>
  <si>
    <t xml:space="preserve">	4281</t>
  </si>
  <si>
    <t>427.1  4281  2012</t>
  </si>
  <si>
    <t>料理甜甜圈親子廚房 : 小朋友愛吃又健康的料理 / 東森電視著新北市 : 凱特文化出版 : 2012[民101]</t>
  </si>
  <si>
    <t xml:space="preserve">	9789866175701</t>
  </si>
  <si>
    <t xml:space="preserve">	5413:2</t>
  </si>
  <si>
    <t>427.1  5413:2  2012</t>
  </si>
  <si>
    <t>栽食 : 簡單種、輕鬆做,安心又美味的75道天然好料理 / 岡井路子著 ; 夏淑怡譯臺北市 : 積木文化出版 : 2012[民101]</t>
  </si>
  <si>
    <t>夏淑怡</t>
  </si>
  <si>
    <t xml:space="preserve">	9789866595745</t>
  </si>
  <si>
    <t xml:space="preserve">	7561</t>
  </si>
  <si>
    <t>427.3  7561  2012</t>
  </si>
  <si>
    <t>排骨料理炸滷蒸燉 / 郭泰王, 張華通著新北市新店區 : 人類智庫數位科技出版 : 2012</t>
  </si>
  <si>
    <t>張華通</t>
  </si>
  <si>
    <t xml:space="preserve">	9789865954000</t>
  </si>
  <si>
    <t>427.2  0751  2012</t>
  </si>
  <si>
    <t>簡單種!美味吃! : 陽臺家庭菜園 / boutique社編著 ; 曾心怡譯臺北市 ; [新北市新店區] : 日月文化出版 : 2012[民101]</t>
  </si>
  <si>
    <t>曾心怡</t>
  </si>
  <si>
    <t xml:space="preserve">	9789862482544</t>
  </si>
  <si>
    <t xml:space="preserve">	1053</t>
  </si>
  <si>
    <t>435.2  1053  2012</t>
  </si>
  <si>
    <t>1人份剛剛好 : 奧斯卡的72道獨樂料理 / 奧斯卡著臺北市 : 尖端, 2013[民102]</t>
  </si>
  <si>
    <t>奧斯卡</t>
  </si>
  <si>
    <t xml:space="preserve">	9789571051925</t>
  </si>
  <si>
    <t xml:space="preserve">	2742</t>
  </si>
  <si>
    <t>427.1  2742  2013</t>
  </si>
  <si>
    <t>81002A0TA4;教學卓越計畫(102);L002</t>
  </si>
  <si>
    <t>3招搞定450道省荷包美味料理 / woongjin thinkbig著 ; 崔冬梅譯新北市 : 新文創文化, 2013[民102]</t>
  </si>
  <si>
    <t>崔冬梅</t>
  </si>
  <si>
    <t xml:space="preserve">_x001E_新文創文化, </t>
  </si>
  <si>
    <t xml:space="preserve">	9789868934603</t>
  </si>
  <si>
    <t xml:space="preserve">	2224</t>
  </si>
  <si>
    <t>427.1  2224  2013</t>
  </si>
  <si>
    <t>60道好滋味的夏日微酸料理 : 美肌排毒燃脂抗老化 / 岩崎啟子著 ; 羅怡蘋譯新北市 : 繪虹企業, 2013[民102]</t>
  </si>
  <si>
    <t>岩崎啟子</t>
  </si>
  <si>
    <t xml:space="preserve">	9789865834074</t>
  </si>
  <si>
    <t xml:space="preserve">	2231</t>
  </si>
  <si>
    <t>427.1  2231  2013</t>
  </si>
  <si>
    <t>92道義式主廚的私房料理 / 西口大輔著 ; 林欣瀅譯新北市 : 楓書坊文化, 2013[民102]</t>
  </si>
  <si>
    <t>林欣瀅</t>
  </si>
  <si>
    <t xml:space="preserve">	9789865973742</t>
  </si>
  <si>
    <t xml:space="preserve">	1645</t>
  </si>
  <si>
    <t>427.12  1645  2013</t>
  </si>
  <si>
    <t>home cafe週末小食光 : 101道咖啡館brunch料理a to z / la cuisine著 ; 邊鈾鈾譯臺北市 : 尖端, 2013[民102]</t>
  </si>
  <si>
    <t>La cuisine</t>
  </si>
  <si>
    <t xml:space="preserve">	9789571051321</t>
  </si>
  <si>
    <t xml:space="preserve">	3688</t>
  </si>
  <si>
    <t>427.1  3688  2013</t>
  </si>
  <si>
    <t>日日料理蔬 : 名店主廚教你做!豐富感蔬食譜102道 / la vie編輯部著臺北市 : 麥浩斯出版 : 2013[民102]</t>
  </si>
  <si>
    <t xml:space="preserve">	9789865802042</t>
  </si>
  <si>
    <t xml:space="preserve">	7054</t>
  </si>
  <si>
    <t>483.8  7054  2013</t>
  </si>
  <si>
    <t>西餐大師 = to be a western style food chef : 在家做出100道主廚級的豪華料理 / 許宏寓,賴曉梅著臺北市 : 橘子文化, 2013[民102]</t>
  </si>
  <si>
    <t>許宏寓</t>
  </si>
  <si>
    <t xml:space="preserve">	9789866062452</t>
  </si>
  <si>
    <t xml:space="preserve">	0833</t>
  </si>
  <si>
    <t>427.12  0833  2013</t>
  </si>
  <si>
    <t>完美醬料全書 = perfect sauces britannica : 廚藝零失誤全靠這一味，輕鬆做出五星級料理的萬能烹調醬 / 曾良泉著臺北市 : 開企, 2013[民102]</t>
  </si>
  <si>
    <t>曾良泉</t>
  </si>
  <si>
    <t xml:space="preserve">_x001E_開企, </t>
  </si>
  <si>
    <t xml:space="preserve">	9789868959705</t>
  </si>
  <si>
    <t xml:space="preserve">	8032</t>
  </si>
  <si>
    <t>247.61  8032  2013</t>
  </si>
  <si>
    <t>沙拉筆記 : 清爽可口的綠色食物 / 金恩我著 ; 曹玉絢譯[新北市] : 廣智文化, 2013[民102]</t>
  </si>
  <si>
    <t>曹玉絢</t>
  </si>
  <si>
    <t xml:space="preserve">_x001E_廣智文化, </t>
  </si>
  <si>
    <t xml:space="preserve">	9789866034596</t>
  </si>
  <si>
    <t xml:space="preserve">	8062</t>
  </si>
  <si>
    <t>427.1  8062  2013</t>
  </si>
  <si>
    <t>前田太太撫慰人心的幸福料理 / 王珠惠著臺北市 : 尖端, 2013[民102]</t>
  </si>
  <si>
    <t>王珠惠</t>
  </si>
  <si>
    <t xml:space="preserve">	9789571052465</t>
  </si>
  <si>
    <t xml:space="preserve">	1015</t>
  </si>
  <si>
    <t>427.07  1015  2013</t>
  </si>
  <si>
    <t>星級主廚 : 教你做料理. 魚 &amp; 蔬菜料理篇 / 松岡知子作 ; 曹茹蘋翻譯新北市 : 楓樹林, 2013[民102]</t>
  </si>
  <si>
    <t>曹茹蘋</t>
  </si>
  <si>
    <t xml:space="preserve">_x001E_楓樹林, </t>
  </si>
  <si>
    <t xml:space="preserve">	9789866023606</t>
  </si>
  <si>
    <t xml:space="preserve">	4781</t>
  </si>
  <si>
    <t>427.1  4781  2013</t>
  </si>
  <si>
    <t>快手電鍋菜120 : 一指搞定無油煙低脂料理 / 林美慧著臺北市 : 邦聯文化, 2013[民102]</t>
  </si>
  <si>
    <t xml:space="preserve">	9789866199394</t>
  </si>
  <si>
    <t xml:space="preserve">	4485-11</t>
  </si>
  <si>
    <t>427.1  4485-11  2013</t>
  </si>
  <si>
    <t>家庭煮夫美味大探險 : 從料理笨蛋到廚房魔手的廚藝食記 / 丹尼爾.杜安(daniel duane)著 ; 陳志民譯臺北市 : 健行文化出版 : 2013[民102]</t>
  </si>
  <si>
    <t>杜安(Duane, Daniel)</t>
  </si>
  <si>
    <t xml:space="preserve">	9789866798658</t>
  </si>
  <si>
    <t xml:space="preserve">	4430</t>
  </si>
  <si>
    <t>427.07  4430  2013</t>
  </si>
  <si>
    <t>健康好食雞 : 低脂.美味.簡單.料理雞肉的秘技 / 蔡萬利著臺北市 : 二魚文化, 2013[民102]</t>
  </si>
  <si>
    <t xml:space="preserve">_x001E_二魚文化, </t>
  </si>
  <si>
    <t xml:space="preserve">	9789866490989</t>
  </si>
  <si>
    <t>427.221  4442  2013</t>
  </si>
  <si>
    <t>健康美味豬 : 盤底朝天的夢幻豬料理 / 李耀堂著臺北市 : 二魚文化, 2013[民102]</t>
  </si>
  <si>
    <t>李耀堂</t>
  </si>
  <si>
    <t xml:space="preserve">	9789865813031</t>
  </si>
  <si>
    <t xml:space="preserve">	4099</t>
  </si>
  <si>
    <t>427.211  4099  2013</t>
  </si>
  <si>
    <t>蛋&amp;豆腐 : 最愛料理140道 / 程安琪,陳盈舟著臺北市 : 橘子文化, 2013[民102]</t>
  </si>
  <si>
    <t xml:space="preserve">	9789866062469</t>
  </si>
  <si>
    <t>427.3  2631  2013</t>
  </si>
  <si>
    <t>舒食101 / 臺安醫院編著臺北市 : 時兆, 2013[民102]</t>
  </si>
  <si>
    <t xml:space="preserve">_x001E_時兆, </t>
  </si>
  <si>
    <t xml:space="preserve">	9789866314353</t>
  </si>
  <si>
    <t xml:space="preserve">	4377-2</t>
  </si>
  <si>
    <t>427.31  4377-2  2013</t>
  </si>
  <si>
    <t>暖男上菜 : 120道吃不胖的home made料理 / 李真豪著 ; 馬毓玲譯臺北市 : 尖端 : 2013[民102]</t>
  </si>
  <si>
    <t>李真豪</t>
  </si>
  <si>
    <t xml:space="preserve">_x001E_尖端 : </t>
  </si>
  <si>
    <t xml:space="preserve">	9789571052458</t>
  </si>
  <si>
    <t xml:space="preserve">	4040</t>
  </si>
  <si>
    <t>427.1  4040  2013</t>
  </si>
  <si>
    <t>暖暖小食光 / 園山真希繪著 ; 游韻馨譯臺北市 : 精誠資訊, 2013[民102]</t>
  </si>
  <si>
    <t>園山真希繪</t>
  </si>
  <si>
    <t xml:space="preserve">	9789866348884</t>
  </si>
  <si>
    <t xml:space="preserve">	6244</t>
  </si>
  <si>
    <t>427.07  6244  2013</t>
  </si>
  <si>
    <t>絕對好吃的萬能平底鍋料理 = fryingpan cooking / 主婦與生活社作 ; 許書華譯臺北市 : 睿其書房出版 : 2013</t>
  </si>
  <si>
    <t>許書華</t>
  </si>
  <si>
    <t xml:space="preserve">_x001E_邦聯文化發行, </t>
  </si>
  <si>
    <t xml:space="preserve">	9789865944308</t>
  </si>
  <si>
    <t xml:space="preserve">	0472</t>
  </si>
  <si>
    <t>427.1  0472  2013</t>
  </si>
  <si>
    <t>蔬食料理精華 = best vegetarian restaurant pecipes in taiwan : 22位頂級大廚教您輕鬆料理 / 人類智庫編輯部著新北市新店區 : 人類智庫數位科技, 2013[民102]</t>
  </si>
  <si>
    <t xml:space="preserve">_x001E_人類智庫數位科技, </t>
  </si>
  <si>
    <t xml:space="preserve">	9789865855536</t>
  </si>
  <si>
    <t xml:space="preserve">	8980</t>
  </si>
  <si>
    <t>427.31  8980  2013</t>
  </si>
  <si>
    <t>餐桌上的蔬菜百科 / 潘瑋翔,好吃編輯部著臺北市 : 麥浩斯出版 : 2013[民102]</t>
  </si>
  <si>
    <t>好吃編輯部</t>
  </si>
  <si>
    <t xml:space="preserve">	9789865932725</t>
  </si>
  <si>
    <t xml:space="preserve">	3218</t>
  </si>
  <si>
    <t>435.2  3218  2013</t>
  </si>
  <si>
    <t>跟著小魚媽,新手也能安心做出好吃麵包 : 550張麵包機料理全圖解,讓你看圖就會做! / 陳怡安著臺北市 : 三采文化, 2014[民103]</t>
  </si>
  <si>
    <t>陳怡安</t>
  </si>
  <si>
    <t xml:space="preserve">	9789863422099</t>
  </si>
  <si>
    <t xml:space="preserve">	7593</t>
  </si>
  <si>
    <t>427.16  7593  2014</t>
  </si>
  <si>
    <t>81003A0R43;教學卓越計畫(103);L002</t>
  </si>
  <si>
    <t>8100105A090859;教學卓越計畫(105);L002</t>
  </si>
  <si>
    <t>超完美地中海飲食指南 : 全球最健康的飲食文化,0到100+歲都適用的家庭料理書 / 安傑羅.奧古斯塔(angelo acquista), 羅莉.安.范德摩倫(laurie anne vandermolen)著 ; 賀婷譯臺北市 : 常常生活文創, 2016[民105]</t>
  </si>
  <si>
    <t>奧古斯塔(Acquista, Angelo)</t>
  </si>
  <si>
    <t xml:space="preserve">	9789869306874</t>
  </si>
  <si>
    <t xml:space="preserve">	2444</t>
  </si>
  <si>
    <t>427.12  2444  2016</t>
  </si>
  <si>
    <t>輕食餐桌 : 麻球的日日小料理 / 麻球作臺北市 : 四塊玉文創, 2016[民105]</t>
  </si>
  <si>
    <t>麻球</t>
  </si>
  <si>
    <t xml:space="preserve">_x001E_四塊玉文創, </t>
  </si>
  <si>
    <t xml:space="preserve">	9789865661809</t>
  </si>
  <si>
    <t xml:space="preserve">	0013</t>
  </si>
  <si>
    <t>427.1  0013  2016</t>
  </si>
  <si>
    <t>讚不絕口的媽媽家常菜 / 楊桃文化食譜臺北市 : 楊桃文化出版, 2016[民105]</t>
  </si>
  <si>
    <t xml:space="preserve">_x001E_楊桃文化出版, </t>
  </si>
  <si>
    <t xml:space="preserve">	4712972652021</t>
  </si>
  <si>
    <t xml:space="preserve">	4402:2-9</t>
  </si>
  <si>
    <t>427.1  4402:2-9  2016</t>
  </si>
  <si>
    <t>林姓主婦的家務事 : 「留著青蔥在,不怕沒菜燒」的新世代主婦料理哲學 / 林姓主婦著臺北市 : 三采, 2016[民105]</t>
  </si>
  <si>
    <t>林姓主婦</t>
  </si>
  <si>
    <t xml:space="preserve">	9789863426882</t>
  </si>
  <si>
    <t xml:space="preserve">	4404</t>
  </si>
  <si>
    <t>427.1  4404  2016</t>
  </si>
  <si>
    <t>8100106A020696;4142(106);L002</t>
  </si>
  <si>
    <t>黑心居酒屋. 2, 帶來回憶的料理 / 秋川美作 ; 緋華璃譯臺北市 : 麥田出版, 2017[民106]</t>
  </si>
  <si>
    <t>秋川美</t>
  </si>
  <si>
    <t xml:space="preserve">_x001E_麥田出版, </t>
  </si>
  <si>
    <t xml:space="preserve">	9789863444169</t>
  </si>
  <si>
    <t xml:space="preserve">	2238:2</t>
  </si>
  <si>
    <t>861.57  2238:2  2017  v.2</t>
  </si>
  <si>
    <t>北港圖書分館視聽區</t>
  </si>
  <si>
    <t>阿基師偷呷步 : [錄影資料] : 快手料理 / 鄭衍基示範  臺北市 : 采昌國際多媒體, [2008]</t>
  </si>
  <si>
    <t xml:space="preserve">_x001E_采昌國際多媒體, </t>
  </si>
  <si>
    <t>[2008]</t>
  </si>
  <si>
    <t xml:space="preserve">	7422</t>
  </si>
  <si>
    <t>v.1-v.2</t>
  </si>
  <si>
    <t>DD  427.1  7422  2008  v.1-v.2</t>
  </si>
  <si>
    <t>81001A1875;教學卓越計畫(100);BCAA</t>
  </si>
  <si>
    <t>海中鮮 : 100種海產.100道料理 / 鄭衍基著 臺北市| : 臺視, 1998[民87]</t>
  </si>
  <si>
    <t xml:space="preserve">1998[民87] </t>
  </si>
  <si>
    <t xml:space="preserve">	9575652878</t>
  </si>
  <si>
    <t>427.25  8724  88</t>
  </si>
  <si>
    <t>養身料理健康吃 / 於美人, 蔡美津著臺北市 ; 臺北縣新店市 : 尖端出版 : 2004[民93]</t>
  </si>
  <si>
    <t>于美人</t>
  </si>
  <si>
    <t xml:space="preserve">	9571028886</t>
  </si>
  <si>
    <t>427.1  1088  2004</t>
  </si>
  <si>
    <t>安南圖書區</t>
  </si>
  <si>
    <t>100道讚不絕口的年菜大收錄 / 邱寶郎著臺北市 : 楊桃文化, 2013[民102]</t>
  </si>
  <si>
    <t>邱寶郎</t>
  </si>
  <si>
    <t xml:space="preserve">	7733</t>
  </si>
  <si>
    <t>427.11  7733  2013</t>
  </si>
  <si>
    <t>回家晚餐 : 月光食堂101道從蔬菜、魚肉、湯品到主食的家常料理 / 梅村月文.攝影新北市 : 自由之丘文創, 2014[民103]</t>
  </si>
  <si>
    <t>梅村月</t>
  </si>
  <si>
    <t xml:space="preserve">_x001E_自由之丘文創, </t>
  </si>
  <si>
    <t xml:space="preserve">	9789869060561</t>
  </si>
  <si>
    <t xml:space="preserve">	4847</t>
  </si>
  <si>
    <t>427.1  4847  2014</t>
  </si>
  <si>
    <t>愛上鑄鐵鍋 : 美味、節能又省時的72道staub料理 / 今泉久美著 ; 顏理謙譯臺北市 : 積木文化出版, 2014[民103]</t>
  </si>
  <si>
    <t>今泉久美</t>
  </si>
  <si>
    <t xml:space="preserve">_x001E_積木文化出版, </t>
  </si>
  <si>
    <t xml:space="preserve">	9789865865405</t>
  </si>
  <si>
    <t xml:space="preserve">	8228-2</t>
  </si>
  <si>
    <t>427.1  8228-2  2014</t>
  </si>
  <si>
    <t>C1040212013(103);力大</t>
  </si>
  <si>
    <t>跟著節氣吃好料 : 86位料理達人傾囊相授，深度挖掘58種當令盛產食材&amp;167道養生創意料理的美味關係 / 蘋果日報副刊中心著臺北市 : 商周, 2014[民103]</t>
  </si>
  <si>
    <t xml:space="preserve">_x001E_商周, </t>
  </si>
  <si>
    <t xml:space="preserve">	9789862725832</t>
  </si>
  <si>
    <t xml:space="preserve">	4664</t>
  </si>
  <si>
    <t>413.98  4664  2014</t>
  </si>
  <si>
    <t>營養師教你跟著四季吃健康 : 現代醫學結合節氣智慧，96道旬味料理簡單做 / 長庚紀念醫院營養治療科團隊著臺北市 : 麥浩斯, 2014[民103]</t>
  </si>
  <si>
    <t xml:space="preserve">	9789865680022</t>
  </si>
  <si>
    <t xml:space="preserve">	7028</t>
  </si>
  <si>
    <t>411.3  7028  2014</t>
  </si>
  <si>
    <t>餐桌上的五穀雜糧百科 : 從產地、料理到營養,關心身體與土地的全食材事典 / 好吃編輯部著 臺北市 : 城邦出版 : 2015[民104]</t>
  </si>
  <si>
    <t xml:space="preserve">2015[民104] </t>
  </si>
  <si>
    <t xml:space="preserve">	9789864080687</t>
  </si>
  <si>
    <t xml:space="preserve">	4625</t>
  </si>
  <si>
    <t>411.3  4625  2015</t>
  </si>
  <si>
    <t>病人教育Patient education</t>
  </si>
  <si>
    <t>C1050328001;安南(104);A8C0</t>
  </si>
  <si>
    <t>常備輕漬料理 / dodo編輯部著 ; 草滾滾, 馮筱芹譯臺北市 : 精誠資訊, 2016[民105]</t>
  </si>
  <si>
    <t>草滾滾</t>
  </si>
  <si>
    <t xml:space="preserve">	9789869388740</t>
  </si>
  <si>
    <t xml:space="preserve">	2350</t>
  </si>
  <si>
    <t>427.75  2350  2016</t>
  </si>
  <si>
    <t>C1060118011;安南(105);AK00</t>
  </si>
  <si>
    <t>126道親子料理同食煮!寶寶營養料理+大人好吃餐點,一次搞定! / 樂媽咪名廚團隊編著 ; 吳維雲, 楊智雅繪圖新北市 : 樂友文化, 2016[民105]</t>
  </si>
  <si>
    <t>吳維雲</t>
  </si>
  <si>
    <t xml:space="preserve">_x001E_樂友文化, </t>
  </si>
  <si>
    <t xml:space="preserve">	9789869365772</t>
  </si>
  <si>
    <t xml:space="preserve">	2462</t>
  </si>
  <si>
    <t>428.3  2462  2016</t>
  </si>
  <si>
    <t>百變燜燒罐料理 / 王佳萱著 新北市[中和區] ; 臺北市 : 上優文化出版 : 2016[民105]</t>
  </si>
  <si>
    <t>王佳萱</t>
  </si>
  <si>
    <t xml:space="preserve">_x001E_紅螞蟻圖書總經銷, </t>
  </si>
  <si>
    <t xml:space="preserve">2016[民105] </t>
  </si>
  <si>
    <t xml:space="preserve">	9789866479946</t>
  </si>
  <si>
    <t xml:space="preserve">	1024</t>
  </si>
  <si>
    <t>427.1  1024  2016</t>
  </si>
  <si>
    <t>日本職人世代傳承的醬料大全 : 175種代代流傳的美味,107道料理職人的智慧! / 大坊香緒裡作臺北市 : 不求人文化出版, 2016[民105]</t>
  </si>
  <si>
    <t>大坊香緒里</t>
  </si>
  <si>
    <t xml:space="preserve">_x001E_不求人文化出版, </t>
  </si>
  <si>
    <t xml:space="preserve">	9789869348652</t>
  </si>
  <si>
    <t>427.61  4422  2016</t>
  </si>
  <si>
    <t>costco肉料理好食提案 : 百萬網友都說讚!100道最想吃的肉類分裝,保存,調理包,精選食譜 / amy,rachel著臺北市 : 創意市集出版, 2016[民105]</t>
  </si>
  <si>
    <t>Amy</t>
  </si>
  <si>
    <t xml:space="preserve">_x001E_創意市集出版, </t>
  </si>
  <si>
    <t xml:space="preserve">	9789869360692</t>
  </si>
  <si>
    <t xml:space="preserve">	4914</t>
  </si>
  <si>
    <t>427.2  4914  2016</t>
  </si>
  <si>
    <t>清蒸水煮料理大推薦 / 楊桃文化作臺北市 : 楊桃文化, 2016[民105]</t>
  </si>
  <si>
    <t xml:space="preserve">	4712972651543</t>
  </si>
  <si>
    <t xml:space="preserve">	4402:2-10</t>
  </si>
  <si>
    <t>427.1  4402:2-10  2016</t>
  </si>
  <si>
    <t>400道烤箱料理聖經 / 楊桃文化作臺北市 : 楊桃文化, 2016[民105]</t>
  </si>
  <si>
    <t xml:space="preserve">	4712972652533</t>
  </si>
  <si>
    <t xml:space="preserve">	4402:2-12</t>
  </si>
  <si>
    <t>427.1  4402:2-12  2016</t>
  </si>
  <si>
    <t>好省時好方便 : 不需另外備料製作的幼兒成長料理 / 古谷正江作 ; 沙子芳譯 臺北市 : 邦聯文化, 2016[民105]</t>
  </si>
  <si>
    <t>古谷正江</t>
  </si>
  <si>
    <t xml:space="preserve">	9789869305792</t>
  </si>
  <si>
    <t xml:space="preserve">	4813</t>
  </si>
  <si>
    <t>428.3  4813  2016</t>
  </si>
  <si>
    <t>108鬆餅機點心料理 = recipes for waffle maker snacks / 周景堯,郭品岑著 [新北市] ; 臺北市 : 三藝出版 : 2016[民105]</t>
  </si>
  <si>
    <t>周景堯</t>
  </si>
  <si>
    <t xml:space="preserve">	9789869335058</t>
  </si>
  <si>
    <t xml:space="preserve">	7764</t>
  </si>
  <si>
    <t>427.16  7764  2016</t>
  </si>
  <si>
    <t>1飯+1菜=份量剛好,營養飽足的一人和食餐桌 / 田唯介作 ; 林奕孜譯 臺北市 : 常常生活文創出版 : 民105[2016]</t>
  </si>
  <si>
    <t>田唯介</t>
  </si>
  <si>
    <t xml:space="preserve">_x001E_常常生活文創出版 : </t>
  </si>
  <si>
    <t xml:space="preserve">民105[2016] </t>
  </si>
  <si>
    <t xml:space="preserve">	9789869365512</t>
  </si>
  <si>
    <t>427.131  4401  2016</t>
  </si>
  <si>
    <t>泰菜熱 =thai food fever /阿明師(李明芢)作 ; 林永銘, 劉慶隆攝影臺北市 : 男子製本所, 2017</t>
  </si>
  <si>
    <t>劉慶隆</t>
  </si>
  <si>
    <t xml:space="preserve">_x001E_男子製本所, </t>
  </si>
  <si>
    <t xml:space="preserve">	9789869454629</t>
  </si>
  <si>
    <t xml:space="preserve">	4064</t>
  </si>
  <si>
    <t>427.1382  4064  2017</t>
  </si>
  <si>
    <t>C1061207011;安南(106);AK00</t>
  </si>
  <si>
    <t>鮮味高湯的秘密 :掌握四大高湯食材熬煮關鍵,做出道地的日式家庭料理 /長濱智子著 ; 吳金石攝影新北市新店區 : 幸福文化, 2017</t>
  </si>
  <si>
    <t>吳金石</t>
  </si>
  <si>
    <t xml:space="preserve">	9789869417457</t>
  </si>
  <si>
    <t xml:space="preserve">	7381</t>
  </si>
  <si>
    <t>427.131  7381  2017</t>
  </si>
  <si>
    <t>等待送回原館藏地</t>
  </si>
  <si>
    <t>一日三餐 :麵包王&amp;車珠媽的完美料理再現! /2千元幸福餐桌, tvn一日三餐製作團隊著 ; 張鈺琦譯臺北市 : 時報文化, 2016</t>
  </si>
  <si>
    <t>tvN一日三餐製作團隊</t>
  </si>
  <si>
    <t xml:space="preserve">	9789571366067</t>
  </si>
  <si>
    <t xml:space="preserve">	1612</t>
  </si>
  <si>
    <t>427.132  1612  2016</t>
  </si>
  <si>
    <t>一日三餐.瑞精靈&amp;車珠媽的超好吃料理, 美味更升級! /2 :2千元幸福餐桌, tvn一日三餐製作團隊著 ; 張鈺琦譯臺北市 : 時報文化, 2017</t>
  </si>
  <si>
    <t xml:space="preserve">	9789571368955</t>
  </si>
  <si>
    <t xml:space="preserve">	1612-2</t>
  </si>
  <si>
    <t>427.132  1612-2  2017</t>
  </si>
  <si>
    <t>平底鍋料理100 :與你共享的日常況味 /鄭凱華著臺北市 : 精誠資訊, 2017</t>
  </si>
  <si>
    <t>鄭凱華</t>
  </si>
  <si>
    <t xml:space="preserve">	9789869462587</t>
  </si>
  <si>
    <t xml:space="preserve">	8724:2</t>
  </si>
  <si>
    <t>427.1  8724:2  2017</t>
  </si>
  <si>
    <t>肉品聖經 :牛、羊、豬、禽 品種、產地、飼養、切割、烹調 最全面的肉品百科知識與料理之道 嗜肉好煮之人最渴望擁有的廚藝工具書 /亞瑟.凱納(arthur le caisne)著 ; 韓書妍譯臺北市 :積木文化 ,2018[民107]</t>
  </si>
  <si>
    <t>凱納(Caisne, Arthur Le).</t>
  </si>
  <si>
    <t>_x001E_積木文化 ,</t>
  </si>
  <si>
    <t>2018[民107]</t>
  </si>
  <si>
    <t xml:space="preserve">	9789864591435</t>
  </si>
  <si>
    <t xml:space="preserve">	2724</t>
  </si>
  <si>
    <t>427.2  2724  2018</t>
  </si>
  <si>
    <t>C1071224009;安南(107);A8C0</t>
  </si>
  <si>
    <t>4樣食材做泰國菜 :涼拌、綠咖哩、炒河粉、雪酪,36道泰皇料理&amp;街頭美食輕鬆上桌! /卡蜜兒.蘇碧耶(camille sourbier)著 ; 王晶盈譯臺北市 :日月文化出版股份有限公司,2018</t>
  </si>
  <si>
    <t>Sourbier, Camille.</t>
  </si>
  <si>
    <t>_x001E_日月文化出版股份有限公司,</t>
  </si>
  <si>
    <t xml:space="preserve">	9789862487297</t>
  </si>
  <si>
    <t>427.1382  4411  2018</t>
  </si>
  <si>
    <t>costco海鮮料理好食提案 :百萬網友都說讚!一次學會各式海鮮挑選、分裝、保存、調理包、精選食譜100+ /張美君(amy)著臺北市 :創意市集出版 ,2018[民107]</t>
  </si>
  <si>
    <t>張美君(Amy)</t>
  </si>
  <si>
    <t>_x001E_創意市集出版 ,</t>
  </si>
  <si>
    <t xml:space="preserve">	9789579199193</t>
  </si>
  <si>
    <t xml:space="preserve">	1181</t>
  </si>
  <si>
    <t>427.25  1181  2018</t>
  </si>
  <si>
    <t>C1071224009;安南(107);AK00</t>
  </si>
  <si>
    <t>下酒食. 微醺時 :今天的下酒菜是什麼?100種有品味的私房料理 /池銀暻著 ; 譚妮如譯桃園市 :橙實文化出版 ,2018[民107]</t>
  </si>
  <si>
    <t>池銀暻</t>
  </si>
  <si>
    <t>_x001E_橙實文化出版 ,</t>
  </si>
  <si>
    <t xml:space="preserve">	9789869635974</t>
  </si>
  <si>
    <t xml:space="preserve">	3486</t>
  </si>
  <si>
    <t>427.1  3486  2018</t>
  </si>
  <si>
    <t>肉類醃漬料理 :食材保鮮x入味一次完成的聰明料理法 /渡邊麻紀作;何姵儀譯臺北市 : 太雅, 2018[民107]</t>
  </si>
  <si>
    <t xml:space="preserve">	9789863362630</t>
  </si>
  <si>
    <t>427.75  3302  2018</t>
  </si>
  <si>
    <t>就是愛吃麵 :一次認識38種麵條, 並學會102道麵食料理 /蔡萬利, 羅世超著 ; 周禎和攝影臺北市 :日日幸福出版 ,2018[民107]</t>
  </si>
  <si>
    <t>_x001E_日日幸福出版 ,</t>
  </si>
  <si>
    <t xml:space="preserve">	9789869636964</t>
  </si>
  <si>
    <t>427.38  4442  2018</t>
  </si>
  <si>
    <t>灶邊煮語 :臺灣閩客料理的對話 /陳淑華著臺北市 :遠流,2018[民107]</t>
  </si>
  <si>
    <t>陳淑華</t>
  </si>
  <si>
    <t xml:space="preserve">	9789573283720</t>
  </si>
  <si>
    <t xml:space="preserve">	7534</t>
  </si>
  <si>
    <t>538.7833  7534  2018</t>
  </si>
  <si>
    <t>料理作法轉個彎, 全營養不流失 :食物營養素最大化! /好食材研究團隊編新北市中和區 :和平國際文化 ,2018[民107]</t>
  </si>
  <si>
    <t>_x001E_和平國際文化 ,</t>
  </si>
  <si>
    <t xml:space="preserve">	9789863711308</t>
  </si>
  <si>
    <t xml:space="preserve">	4841</t>
  </si>
  <si>
    <t>411.3  4841  2018</t>
  </si>
  <si>
    <t>低烹、嫩煎、醃漬、酥炸、燉煮,主廚特製增肌減脂雞胸肉料理 :醣類控制、熱量管理、優質蛋白,熱愛健身的料理名廚與營養師設計,保證滿足口腹之慾的48道雞胸與雞柳食譜 = chicken breast recipe /荻野伸也著 ; 林美琪譯臺北市 :積木文化出版 ,2018[民107]</t>
  </si>
  <si>
    <t>林美琪</t>
  </si>
  <si>
    <t>_x001E_積木文化出版 ,</t>
  </si>
  <si>
    <t xml:space="preserve">	9864591517</t>
  </si>
  <si>
    <t xml:space="preserve">	4624</t>
  </si>
  <si>
    <t>427.221  4624  2018</t>
  </si>
  <si>
    <t>harumi今日的料理100選 :nhk最受歡迎烹飪節目60週年紀念, 百萬粉絲最渴望學會的栗原晴美食譜 /栗原晴美著 ; 陳佩君譯臺北市 :積木文化出版 ,2018[民107]</t>
  </si>
  <si>
    <t>栗原晴美</t>
  </si>
  <si>
    <t xml:space="preserve">	9789864591404</t>
  </si>
  <si>
    <t xml:space="preserve">	1768-3</t>
  </si>
  <si>
    <t>427.131  1768-3  2018</t>
  </si>
  <si>
    <t>雞肉.豬肉料理王 : 130道美味家常菜烹飪秘訣大公開/黃乃芸,康鑑文化編輯部著新北市 : 人類智庫, 2018[民107].</t>
  </si>
  <si>
    <t>康鑑文化編輯部</t>
  </si>
  <si>
    <t xml:space="preserve">_x001E_人類智庫, </t>
  </si>
  <si>
    <t>2018[民107].</t>
  </si>
  <si>
    <t>427.2  4414  2018</t>
  </si>
  <si>
    <t>一吃就上癮!美味妙殺烤箱菜 :100道零油煙超省時料理/ 薩巴蒂娜作新北市 : 繪虹企業, 2018[民107].</t>
  </si>
  <si>
    <t xml:space="preserve">	9789869652681</t>
  </si>
  <si>
    <t xml:space="preserve">	4744-2</t>
  </si>
  <si>
    <t>427.1  4744-2  2018</t>
  </si>
  <si>
    <t>極味之選 : 建築師黃宏輝之20家頂級料理店 / 黃宏輝著臺北市 : 麥浩斯資訊出版, 2012[民101]</t>
  </si>
  <si>
    <t>黃宏輝</t>
  </si>
  <si>
    <t xml:space="preserve">_x001E_麥浩斯資訊出版, </t>
  </si>
  <si>
    <t xml:space="preserve">	9789866086724</t>
  </si>
  <si>
    <t xml:space="preserve">	4439</t>
  </si>
  <si>
    <t>483.8  4439  2012</t>
  </si>
  <si>
    <t>81001A0BU9;教學卓越計畫(100);BCAA</t>
  </si>
  <si>
    <t>長壽養生便當 / 家森幸男,金谷節子監修 ; 白井操料理 ; 文彰翻譯臺北縣中和市 : 橘子, 2003[民92]</t>
  </si>
  <si>
    <t>家森幸男</t>
  </si>
  <si>
    <t xml:space="preserve">	9867997247</t>
  </si>
  <si>
    <t xml:space="preserve">	3446</t>
  </si>
  <si>
    <t>427.131  3446</t>
  </si>
  <si>
    <t>偉忠姐姐的眷村便當菜 : 41道主婦必修的快.省菜譜 / 王蓉蓉,王偉忠作 ; laurent lin攝影臺北市 : 推守文化創意出版 : 民99[2010]</t>
  </si>
  <si>
    <t>林(Lin, Laurent)</t>
  </si>
  <si>
    <t>民99[2010]</t>
  </si>
  <si>
    <t xml:space="preserve">	9789866570346</t>
  </si>
  <si>
    <t xml:space="preserve">	1044</t>
  </si>
  <si>
    <t>427.17  1044  2010</t>
  </si>
  <si>
    <t>masa的樂樂便當 / 山下勝著新北市 : 幸福文化, 2011</t>
  </si>
  <si>
    <t>山下勝</t>
  </si>
  <si>
    <t xml:space="preserve">	9789868712249</t>
  </si>
  <si>
    <t xml:space="preserve">	2217-2</t>
  </si>
  <si>
    <t>427.1  2217-2  2011</t>
  </si>
  <si>
    <t>幸福便當時間 / 阿部直美文字 ; 阿部了攝影 ; 王俞惠翻譯臺北市 : 行人文化實驗室, 2011[民100]</t>
  </si>
  <si>
    <t>王俞惠</t>
  </si>
  <si>
    <t xml:space="preserve">_x001E_行人文化實驗室, </t>
  </si>
  <si>
    <t xml:space="preserve">	9789868711266</t>
  </si>
  <si>
    <t xml:space="preserve">	7084</t>
  </si>
  <si>
    <t>427.17  7084  2011</t>
  </si>
  <si>
    <t>零失敗!今天開始做素便當 / 林美慧著新北市 : 養沛文化館出版 : 2011</t>
  </si>
  <si>
    <t xml:space="preserve">	9789866247316</t>
  </si>
  <si>
    <t xml:space="preserve">	4485-3</t>
  </si>
  <si>
    <t>427.31  4485-3  2011</t>
  </si>
  <si>
    <t>美味常備菜120道 / 主婦之友社著 ; 陳冠貴譯臺北市 : 精誠資訊, 2014[民103]</t>
  </si>
  <si>
    <t>陳冠貴</t>
  </si>
  <si>
    <t xml:space="preserve">	9789865740535</t>
  </si>
  <si>
    <t>427.1  0434  2014</t>
  </si>
  <si>
    <t>免捏飯糰三明治 : 日本狂銷20萬冊！野餐露營x營養便當，簡單易做的方便壽司! / 寶島社編輯部作 ; 鄭睿芝譯 [新北市] : 臺灣廣廈, 2016[民105]</t>
  </si>
  <si>
    <t></t>
  </si>
  <si>
    <t xml:space="preserve">	9789861303079</t>
  </si>
  <si>
    <t xml:space="preserve">	3232</t>
  </si>
  <si>
    <t>427.35  3232  2016</t>
  </si>
  <si>
    <t>栗原晴美的美味便當100 / 栗原晴美著 ; 方瑜譯臺北市 : 天下雜誌出版 : 2015[民104]</t>
  </si>
  <si>
    <t>方瑜</t>
  </si>
  <si>
    <t xml:space="preserve">_x001E_天下雜誌出版 : </t>
  </si>
  <si>
    <t xml:space="preserve">	9789863980360</t>
  </si>
  <si>
    <t xml:space="preserve">	1768</t>
  </si>
  <si>
    <t>427.17  1768  2015</t>
  </si>
  <si>
    <t>自炊食代愛女便當 / 極光著臺北市 : 方智, 2017[民106]</t>
  </si>
  <si>
    <t>極光</t>
  </si>
  <si>
    <t xml:space="preserve">_x001E_方智, </t>
  </si>
  <si>
    <t xml:space="preserve">	9789861754505</t>
  </si>
  <si>
    <t xml:space="preserve">	4190</t>
  </si>
  <si>
    <t>427.17  4190  2017</t>
  </si>
  <si>
    <t>活力小日子 我的手作輕食便當 /the light編輯部著 ; 黃薇之譯臺北市 : 采實文化, 2017[民106]</t>
  </si>
  <si>
    <t xml:space="preserve">	9789869464406</t>
  </si>
  <si>
    <t xml:space="preserve">	7460</t>
  </si>
  <si>
    <t>427.17  7460  2017</t>
  </si>
  <si>
    <t>8100106A111124;4142(107);L001</t>
  </si>
  <si>
    <t>冰箱常備菜 : 週末只花2.5小時，搞定一週三餐、便當、點心 /nozomi著 ; 陳冠貴譯臺北市 :精誠資訊, 2016</t>
  </si>
  <si>
    <t>nozomi</t>
  </si>
  <si>
    <t xml:space="preserve">	9789869316590</t>
  </si>
  <si>
    <t xml:space="preserve">	4007-2</t>
  </si>
  <si>
    <t>427.1  4007-2  2016</t>
  </si>
  <si>
    <t>因為愛，做便當. 2 /水瓶著新北市 : 野人文化出版, 2019</t>
  </si>
  <si>
    <t>水瓶</t>
  </si>
  <si>
    <t xml:space="preserve">_x001E_野人文化出版, </t>
  </si>
  <si>
    <t xml:space="preserve">	9789863843429</t>
  </si>
  <si>
    <t xml:space="preserve">	1281</t>
  </si>
  <si>
    <t>427.17  1281  2019</t>
  </si>
  <si>
    <t>玻璃罐常備菜72道 : 輕食新運動!是沙拉，是主食，是甜點，也是便當 /hiroko rin著 ; 黃薇嬪譯臺北市 : 悅知文化, 2016</t>
  </si>
  <si>
    <t>Hiroko Rin</t>
  </si>
  <si>
    <t xml:space="preserve">	9789865617820</t>
  </si>
  <si>
    <t xml:space="preserve">	4444:4</t>
  </si>
  <si>
    <t>427.1  4444:4  2016</t>
  </si>
  <si>
    <t>週間便當 : 星期一到星期五都要好好吃飯!一週5天的便當菜x45款變化x98道菜色 /李伊瑟著 ;  陳郁昕譯臺北市 : 采實文化, 2019</t>
  </si>
  <si>
    <t>李伊瑟</t>
  </si>
  <si>
    <t xml:space="preserve">	9789578950993</t>
  </si>
  <si>
    <t xml:space="preserve">	4021:2</t>
  </si>
  <si>
    <t>427.1  4021:2  2019</t>
  </si>
  <si>
    <t>史丹利的便當盒[錄影資料] = stanley's tiffin box / 葛普泰(gupte, partho)導演臺北市 : 輝洪有限公司, 2011[民100]</t>
  </si>
  <si>
    <t>葛普泰(Gupte, Partho)</t>
  </si>
  <si>
    <t xml:space="preserve">_x001E_輝洪有限公司, </t>
  </si>
  <si>
    <t xml:space="preserve">	5722</t>
  </si>
  <si>
    <t>DD  987.83  5722  2011</t>
  </si>
  <si>
    <t>幸福便當[錄影資料] = noribent : the recipe of fortune / 緒方明導演新北市 : 智軒文化, 2010</t>
  </si>
  <si>
    <t>緒方名</t>
  </si>
  <si>
    <t xml:space="preserve">_x001E_智軒文化, </t>
  </si>
  <si>
    <t xml:space="preserve">	4329</t>
  </si>
  <si>
    <t>DD  987.83  4329  2010</t>
  </si>
  <si>
    <t>81003A0993;4142(103);L001</t>
  </si>
  <si>
    <t>爸爸的便當是世界第一[錄影資料] =弁當世界一 /深津昌和導演臺北市 : 天馬行空, 2018</t>
  </si>
  <si>
    <t>武田玲奈</t>
  </si>
  <si>
    <t xml:space="preserve">_x001E_天馬行空, </t>
  </si>
  <si>
    <t xml:space="preserve">	8822</t>
  </si>
  <si>
    <t>DD  987.83  8822  2018</t>
  </si>
  <si>
    <t>8100107A010799;4142(107);L001</t>
  </si>
  <si>
    <t>營養素食便當 / 阿江著臺北縣板橋市 ; 臺北縣汐止鎮 : 手藝家書局發行 : 1998[民87]</t>
  </si>
  <si>
    <t>阿江</t>
  </si>
  <si>
    <t xml:space="preserve">_x001E_永續總代理, </t>
  </si>
  <si>
    <t xml:space="preserve">	9579830436</t>
  </si>
  <si>
    <t xml:space="preserve">	7131</t>
  </si>
  <si>
    <t>427.31  7131</t>
  </si>
  <si>
    <t>幸福便當日記 : 愛上家人的幸福笑臉... / camay著臺北市 ; 新北市新莊區 : 四塊玉文化出版 : 2012[民101]</t>
  </si>
  <si>
    <t>Camay</t>
  </si>
  <si>
    <t xml:space="preserve">	9866334805</t>
  </si>
  <si>
    <t xml:space="preserve">	2080</t>
  </si>
  <si>
    <t>427.17  2080  2012</t>
  </si>
  <si>
    <t>我的便當人生! : 日本超人氣便當達人masakichi / 緣裡乃雅美著 ; 陳佩君譯臺北市 : 天下雜誌出版 : 2013[民102]</t>
  </si>
  <si>
    <t>緣里乃雅美</t>
  </si>
  <si>
    <t xml:space="preserve">	9789862416389</t>
  </si>
  <si>
    <t xml:space="preserve">	2617</t>
  </si>
  <si>
    <t>427.17  2617  2013</t>
  </si>
  <si>
    <t>一個月的便當菜單 / 江麗珠.楊桃文化作臺北市 : 楊桃文化出版發行, 2013[民102]</t>
  </si>
  <si>
    <t xml:space="preserve">_x001E_楊桃文化出版發行, </t>
  </si>
  <si>
    <t xml:space="preserve">	4711213296222</t>
  </si>
  <si>
    <t>427.17  3111  2013</t>
  </si>
  <si>
    <t>81002A0CS4;教學卓越計畫(102);L002</t>
  </si>
  <si>
    <t>平凡便當裡的不平凡力量 / 佐藤剛史著 ; 許昆暉譯新北市 : 世潮, 2012[民101]</t>
  </si>
  <si>
    <t>佐藤剛史</t>
  </si>
  <si>
    <t xml:space="preserve">_x001E_世潮, </t>
  </si>
  <si>
    <t xml:space="preserve">	9789862590188</t>
  </si>
  <si>
    <t xml:space="preserve">	2475</t>
  </si>
  <si>
    <t>411.3  2475  2012</t>
  </si>
  <si>
    <t>good day!每天都要吃午餐 / 金持惠著 ; 張鑫莉譯臺北市 : 精誠資訊, 2013[民102]</t>
  </si>
  <si>
    <t>張鑫莉</t>
  </si>
  <si>
    <t xml:space="preserve">	9789865912352</t>
  </si>
  <si>
    <t xml:space="preserve">	8055</t>
  </si>
  <si>
    <t>427.1  8055  2013</t>
  </si>
  <si>
    <t>媽媽愛,便當! : 月光食堂50道春夏秋冬超美味便當 / 梅村月(moon)文.攝影臺北市 : 自由之丘文創出版, 2013[民102]</t>
  </si>
  <si>
    <t xml:space="preserve">_x001E_自由之丘文創出版, </t>
  </si>
  <si>
    <t xml:space="preserve">	9789868899582</t>
  </si>
  <si>
    <t>427.17  4847  2013</t>
  </si>
  <si>
    <t>81002A0QV5;教學卓越計畫(102);L002</t>
  </si>
  <si>
    <t>電鍋燉補真簡單 / 陳富春著臺北市 : 庫克書屋, 2008[民97]</t>
  </si>
  <si>
    <t>陳富春</t>
  </si>
  <si>
    <t xml:space="preserve">	9789868471511</t>
  </si>
  <si>
    <t xml:space="preserve">	7535</t>
  </si>
  <si>
    <t>413.98  7535  2008</t>
  </si>
  <si>
    <t>用電鍋做好菜 / 林志哲著臺北市 : 臺視文化, 2008[民97]</t>
  </si>
  <si>
    <t>林志哲</t>
  </si>
  <si>
    <t xml:space="preserve">	9789575658243</t>
  </si>
  <si>
    <t xml:space="preserve">	4445:2</t>
  </si>
  <si>
    <t>427.1  4445:2  2008</t>
  </si>
  <si>
    <t>健康好幫手之電鍋最補湯 / 郭月英,陳麗玲著臺北市 ; 臺北縣中和市 : 橘子文化出版 : 2009[民98]</t>
  </si>
  <si>
    <t>郭月英</t>
  </si>
  <si>
    <t xml:space="preserve">_x001E_貿騰發賣總經銷, </t>
  </si>
  <si>
    <t xml:space="preserve">	9789866890680</t>
  </si>
  <si>
    <t xml:space="preserve">	0774-3</t>
  </si>
  <si>
    <t>413.98  0774-3  2009</t>
  </si>
  <si>
    <t>電鍋點心好簡單 / 王安琪著 ; 周禎和攝影臺北市 : 庫克書屋, 2010[民99]</t>
  </si>
  <si>
    <t>uuuu</t>
  </si>
  <si>
    <t xml:space="preserve">	1031-2</t>
  </si>
  <si>
    <t>427.16  1031-2  2010</t>
  </si>
  <si>
    <t>400道電鍋聖經 = electric pot / 李信宜主編臺北市 : 楊桃文化出版 : 2010[民99]</t>
  </si>
  <si>
    <t>李信宜</t>
  </si>
  <si>
    <t xml:space="preserve">	4711213294358</t>
  </si>
  <si>
    <t xml:space="preserve">	4023</t>
  </si>
  <si>
    <t>427.1  4023  2011</t>
  </si>
  <si>
    <t>81000A0BP3;4142(100);L001;遺失賠書</t>
  </si>
  <si>
    <t>電鍋原來這麼強 / 吳秉承著臺北市 : 庫立馬媒體科技, 2014[民103]</t>
  </si>
  <si>
    <t>吳秉承</t>
  </si>
  <si>
    <t xml:space="preserve">	9789869015240</t>
  </si>
  <si>
    <t xml:space="preserve">	2621-2</t>
  </si>
  <si>
    <t>427.1  2621-2  2014</t>
  </si>
  <si>
    <t>學會用電鍋輕鬆變大廚 / 吳秉承著臺北市 : 庫立馬媒體科技, 2013[民102]</t>
  </si>
  <si>
    <t xml:space="preserve">	9789868851276</t>
  </si>
  <si>
    <t xml:space="preserve">	2621</t>
  </si>
  <si>
    <t>427.1  2621  2013</t>
  </si>
  <si>
    <t>四季日日五行,五色五味的好食養 : 一只平底鍋+ 電鍋,五星級主廚運用當季食材、配合節氣的60道養生食譜 / 張政著臺北市 : 時報文化, 2017[民106]</t>
  </si>
  <si>
    <t>張政</t>
  </si>
  <si>
    <t xml:space="preserve">	9789571369976</t>
  </si>
  <si>
    <t xml:space="preserve">	1118</t>
  </si>
  <si>
    <t>427.1  1118  2017</t>
  </si>
  <si>
    <t>電鍋也可以做館子菜 / 楊桃文化著臺北市 : 楊桃文化, 2017</t>
  </si>
  <si>
    <t xml:space="preserve">	4712972653622</t>
  </si>
  <si>
    <t xml:space="preserve">	4402:2-15</t>
  </si>
  <si>
    <t>427.1  4402:2-15  2017</t>
  </si>
  <si>
    <t>懶人最愛電鍋菜 / 林清茶著臺北縣新店市 : 好吃料理, 2007[民96]</t>
  </si>
  <si>
    <t xml:space="preserve">_x001E_好吃料理, </t>
  </si>
  <si>
    <t xml:space="preserve">	9789867502278</t>
  </si>
  <si>
    <t xml:space="preserve">	4434-2</t>
  </si>
  <si>
    <t>427.1  4434-2  2007</t>
  </si>
  <si>
    <t>15分鐘電鍋補 / 李慶華著 ; 林麗娟文字撰寫臺北市 : 三味文化, 2004[民93]</t>
  </si>
  <si>
    <t>李慶華</t>
  </si>
  <si>
    <t xml:space="preserve">_x001E_三味文化, </t>
  </si>
  <si>
    <t xml:space="preserve">	9867659082</t>
  </si>
  <si>
    <t xml:space="preserve">	4004</t>
  </si>
  <si>
    <t>427.1  4004</t>
  </si>
  <si>
    <t>用電鍋做365道家常菜 / 楊桃文化著臺北市 : 楊桃文化出版發行, 2013[民102]</t>
  </si>
  <si>
    <t xml:space="preserve">	4711213296277</t>
  </si>
  <si>
    <t xml:space="preserve">	4402:2-5</t>
  </si>
  <si>
    <t>427.1  4402:2-5  2013</t>
  </si>
  <si>
    <t>電鍋煮好湯 = soup eating is really good for health / 張豐裕,邦聯文化著臺北市 : 邦聯文化, 2012[民101]</t>
  </si>
  <si>
    <t>張豐裕</t>
  </si>
  <si>
    <t xml:space="preserve">	9789866199301</t>
  </si>
  <si>
    <t xml:space="preserve">	1123</t>
  </si>
  <si>
    <t>427.1  1123  2012</t>
  </si>
  <si>
    <t>用電鍋做蛋糕! : 75種輕鬆做的人氣美味蛋糕 / 朴賢真作 ; 康福怡譯新北市 : 凱特文化創意出版, 2013[民102]</t>
  </si>
  <si>
    <t>朴賢真</t>
  </si>
  <si>
    <t xml:space="preserve">_x001E_凱特文化創意出版, </t>
  </si>
  <si>
    <t xml:space="preserve">	9789865882204</t>
  </si>
  <si>
    <t>427.16  4374  2013</t>
  </si>
  <si>
    <t>用電鍋快鍋辦桌 / 邱寶郎,楊桃文化食譜臺北市 : 楊桃文化出版, 2016[民105]</t>
  </si>
  <si>
    <t xml:space="preserve">	7733-6</t>
  </si>
  <si>
    <t>427.1  7733-6  2016</t>
  </si>
  <si>
    <t>8100105A090124;教學卓越計畫(105);L002</t>
  </si>
  <si>
    <t>用電鍋沒廚房也能做菜 / 楊桃文化食譜臺北市 : 楊桃文化, 2016[民105]</t>
  </si>
  <si>
    <t xml:space="preserve">	4712972652083</t>
  </si>
  <si>
    <t xml:space="preserve">	4402:2-8</t>
  </si>
  <si>
    <t>427.1  4402:2-8  2016</t>
  </si>
  <si>
    <t>小家庭的電鍋家常菜 / 楊桃文化作臺北市 : 楊桃文化, 2016[民105]</t>
  </si>
  <si>
    <t xml:space="preserve">	4712972652205</t>
  </si>
  <si>
    <t xml:space="preserve">	4402:2-11</t>
  </si>
  <si>
    <t>427.1  4402:2-11  2016</t>
  </si>
  <si>
    <t>用電鍋做150道人氣館子菜 / 楊桃文化作臺北市 : 楊桃文化, 2016[民105]</t>
  </si>
  <si>
    <t xml:space="preserve">	4712972652885</t>
  </si>
  <si>
    <t xml:space="preserve">	4402:2-13</t>
  </si>
  <si>
    <t>427.1  4402:2-13  2016</t>
  </si>
  <si>
    <t>記錄編號</t>
  </si>
  <si>
    <t>相關題名</t>
  </si>
  <si>
    <t>URL</t>
  </si>
  <si>
    <t>相關URL</t>
  </si>
  <si>
    <t>是否使用Proxy</t>
  </si>
  <si>
    <t>訂購狀態/來源</t>
  </si>
  <si>
    <t>建檔</t>
  </si>
  <si>
    <t>修改</t>
  </si>
  <si>
    <t>起訂日期</t>
  </si>
  <si>
    <t>迄訂日期</t>
  </si>
  <si>
    <t>電子書主題</t>
  </si>
  <si>
    <t>電子書次主題</t>
  </si>
  <si>
    <t>資料來源</t>
  </si>
  <si>
    <t>經費來源</t>
  </si>
  <si>
    <t>ISBN (printed)</t>
  </si>
  <si>
    <t>ISBN (online)</t>
  </si>
  <si>
    <t>作者</t>
  </si>
  <si>
    <t>出版年</t>
  </si>
  <si>
    <t>語言</t>
  </si>
  <si>
    <t>版次</t>
  </si>
  <si>
    <t>國會分類號</t>
  </si>
  <si>
    <t>NLM 分類法</t>
  </si>
  <si>
    <t>中國圖書分類號</t>
  </si>
  <si>
    <t>授權IP範圍</t>
  </si>
  <si>
    <t>帳號與密碼</t>
  </si>
  <si>
    <t>帳號與密碼(英文)</t>
  </si>
  <si>
    <t>開放密碼</t>
  </si>
  <si>
    <t>備註(英)</t>
  </si>
  <si>
    <t>內容簡介</t>
  </si>
  <si>
    <t>內容簡介(英)</t>
  </si>
  <si>
    <t>使用說明</t>
  </si>
  <si>
    <t>使用說明網址</t>
  </si>
  <si>
    <t>使用說明(英)</t>
  </si>
  <si>
    <t>使用說明網址(英)</t>
  </si>
  <si>
    <t>上傳檔案</t>
  </si>
  <si>
    <t>檔案說明</t>
  </si>
  <si>
    <t>上傳檔案(英)</t>
  </si>
  <si>
    <t>檔案說明(英)</t>
  </si>
  <si>
    <t>授權讀者身份群組</t>
  </si>
  <si>
    <t>異動記錄</t>
  </si>
  <si>
    <t>1</t>
  </si>
  <si>
    <t>Book</t>
  </si>
  <si>
    <t>是</t>
  </si>
  <si>
    <t>訂購</t>
  </si>
  <si>
    <t>2009/09/25</t>
  </si>
  <si>
    <t>2015/05/27</t>
  </si>
  <si>
    <t>EB:中華數字書苑(北大方正)</t>
  </si>
  <si>
    <t>中區區域教學資源中心</t>
  </si>
  <si>
    <t>中文</t>
  </si>
  <si>
    <t>中文電子書共建共享聯盟</t>
  </si>
  <si>
    <t>正常</t>
  </si>
  <si>
    <t>2</t>
  </si>
  <si>
    <t>EB000078893</t>
  </si>
  <si>
    <t>食在有好鍋:48道美味料理健康煮</t>
  </si>
  <si>
    <t>http://cmu.ebook.hyread.com.tw/bookDetail.jsp?id=1978</t>
  </si>
  <si>
    <t>2011/11/28</t>
  </si>
  <si>
    <t>醫藥養生</t>
  </si>
  <si>
    <t>EB:HyRead ebook</t>
  </si>
  <si>
    <t>教學卓越計畫經費</t>
  </si>
  <si>
    <t xml:space="preserve">9789866238178	</t>
  </si>
  <si>
    <t>吳金燕</t>
  </si>
  <si>
    <t>100年教卓經費購置</t>
  </si>
  <si>
    <t>U admin Y2015.M4.D29 10:35 59.120.40.123
M admin Y2015.M5.D27 17:02 59.120.40.122
M admin_cmu Y2019.M10.D3 9:08 140.128.69.28</t>
  </si>
  <si>
    <t>3</t>
  </si>
  <si>
    <t>EB000079008</t>
  </si>
  <si>
    <t>食味人生：聽見料理的心聲</t>
  </si>
  <si>
    <t>http://cmu.ebook.hyread.com.tw/bookDetail.jsp?id=1810</t>
  </si>
  <si>
    <t>2012/01/04</t>
  </si>
  <si>
    <t>休閒生活</t>
  </si>
  <si>
    <t xml:space="preserve">9789571352121	</t>
  </si>
  <si>
    <t>Beaver</t>
  </si>
  <si>
    <t>4</t>
  </si>
  <si>
    <t>EB000080819</t>
  </si>
  <si>
    <t>日本定食屋の新料理</t>
  </si>
  <si>
    <t>http://www.airitibooks.com/detail.aspx?PublicationID=P20120704021</t>
  </si>
  <si>
    <t>2012/12/28</t>
  </si>
  <si>
    <t>家政</t>
  </si>
  <si>
    <t>EB:華藝電子書airitibooks</t>
  </si>
  <si>
    <t>教育部獎補助經費</t>
  </si>
  <si>
    <t xml:space="preserve">9789866232251	</t>
  </si>
  <si>
    <t>趙曉翌</t>
  </si>
  <si>
    <t>101年度教育部校務獎輔助經費</t>
  </si>
  <si>
    <t>*訂購第一年線上不限,離線3人使用權，第二年後線上2人,離線1人版
*永久使用</t>
  </si>
  <si>
    <t>U admin Y2015.M4.D29 10:35 59.120.40.123
M admin Y2015.M5.D27 17:02 59.120.40.122</t>
  </si>
  <si>
    <t>5</t>
  </si>
  <si>
    <t>EB000081153</t>
  </si>
  <si>
    <t>香草美味好料理：養生，養身，養美麗</t>
  </si>
  <si>
    <t>http://www.airitibooks.com/detail.aspx?PublicationID=P20110816005</t>
  </si>
  <si>
    <t>農業科學</t>
  </si>
  <si>
    <t xml:space="preserve">9789862390528	</t>
  </si>
  <si>
    <t>簡悅芝</t>
  </si>
  <si>
    <t>6</t>
  </si>
  <si>
    <t>EB000081173</t>
  </si>
  <si>
    <t>頂尖美味大對決：中義美食料理SHOW</t>
  </si>
  <si>
    <t>http://www.airitibooks.com/detail.aspx?PublicationID=P20111123017</t>
  </si>
  <si>
    <t xml:space="preserve">9789866232176	</t>
  </si>
  <si>
    <t>柯俊年</t>
  </si>
  <si>
    <t>7</t>
  </si>
  <si>
    <t>EB000081201</t>
  </si>
  <si>
    <t>我的第一本西餐料理書</t>
  </si>
  <si>
    <t>http://www.airitibooks.com/detail.aspx?PublicationID=P20120704019</t>
  </si>
  <si>
    <t xml:space="preserve">9789866199158	</t>
  </si>
  <si>
    <t>何行記</t>
  </si>
  <si>
    <t>8</t>
  </si>
  <si>
    <t>9</t>
  </si>
  <si>
    <t>EB000082134</t>
  </si>
  <si>
    <t>經典西餐{醬}料理</t>
  </si>
  <si>
    <t>http://www.airitibooks.com/detail.aspx?PublicationID=P20120704031</t>
  </si>
  <si>
    <t>否</t>
  </si>
  <si>
    <t>免費</t>
  </si>
  <si>
    <t>2013/01/07</t>
  </si>
  <si>
    <t>無</t>
  </si>
  <si>
    <t xml:space="preserve">9789866199257	</t>
  </si>
  <si>
    <t>*訂購第一年線上不限,離線3人使用權，第二年後線上2人,離線1人版
*中區區域資源中心共享書
*永久使用</t>
  </si>
  <si>
    <t>10</t>
  </si>
  <si>
    <t>EB000082266</t>
  </si>
  <si>
    <t>懶人料理365變</t>
  </si>
  <si>
    <t>http://www.airitibooks.com/detail.aspx?PublicationID=P20121025063</t>
  </si>
  <si>
    <t xml:space="preserve">9789866191176	</t>
  </si>
  <si>
    <t>陳師蘭</t>
  </si>
  <si>
    <t>11</t>
  </si>
  <si>
    <t>EB000082759</t>
  </si>
  <si>
    <t>CorelDigitalStudio影音寶典數位生活料理王</t>
  </si>
  <si>
    <t>http://www.airitibooks.com/detail.aspx?PublicationID=P20120525130</t>
  </si>
  <si>
    <t>數學</t>
  </si>
  <si>
    <t xml:space="preserve">9789861817972	</t>
  </si>
  <si>
    <t>瀟灑</t>
  </si>
  <si>
    <t>12</t>
  </si>
  <si>
    <t>EB000082861</t>
  </si>
  <si>
    <t>料理先修班</t>
  </si>
  <si>
    <t>http://www.airitibooks.com/detail.aspx?PublicationID=P20091216215</t>
  </si>
  <si>
    <t xml:space="preserve">9789575658090	</t>
  </si>
  <si>
    <t>呂哲維</t>
  </si>
  <si>
    <t>13</t>
  </si>
  <si>
    <t>EB000082866</t>
  </si>
  <si>
    <t>氧化料理讓你變健康</t>
  </si>
  <si>
    <t>http://www.airitibooks.com/detail.aspx?PublicationID=P20100425209</t>
  </si>
  <si>
    <t xml:space="preserve">9789867266590	</t>
  </si>
  <si>
    <t>王政彰</t>
  </si>
  <si>
    <t>14</t>
  </si>
  <si>
    <t>EB000083179</t>
  </si>
  <si>
    <t>雞腿&amp;魚做料理</t>
  </si>
  <si>
    <t>http://www.airitibooks.com/detail.aspx?PublicationID=P20110701009</t>
  </si>
  <si>
    <t xml:space="preserve">9789866232039	</t>
  </si>
  <si>
    <t>15</t>
  </si>
  <si>
    <t>EB000083328</t>
  </si>
  <si>
    <t>超簡單小烤箱料理</t>
  </si>
  <si>
    <t>http://www.airitibooks.com/detail.aspx?PublicationID=P20091216212</t>
  </si>
  <si>
    <t xml:space="preserve">9575657578	</t>
  </si>
  <si>
    <t>U admin Y2015.M4.D29 10:36 59.120.40.123
M admin Y2015.M5.D27 17:03 59.120.40.122</t>
  </si>
  <si>
    <t>16</t>
  </si>
  <si>
    <t>EB000083640</t>
  </si>
  <si>
    <t>喝湯～時令進補，養生小鍋物</t>
  </si>
  <si>
    <t>http://cmu.ebook.hyread.com.tw/bookDetail.jsp?id=9002</t>
  </si>
  <si>
    <t>2013/01/17</t>
  </si>
  <si>
    <t xml:space="preserve">9789866217241	</t>
  </si>
  <si>
    <t>黃碧雲（料理示範）
陳建志（營養師）</t>
  </si>
  <si>
    <t>101年度教育部校務獎勵輔助經費</t>
  </si>
  <si>
    <t>借閱1人,線上全本瀏覽2人</t>
  </si>
  <si>
    <t>U admin Y2015.M4.D29 10:36 59.120.40.123
M admin Y2015.M5.D27 17:03 59.120.40.122
M admin_cmu Y2019.M10.D3 9:08 140.128.69.28</t>
  </si>
  <si>
    <t>17</t>
  </si>
  <si>
    <t>EB000083718</t>
  </si>
  <si>
    <t>懶人料理365變:燉飯+煲湯+熱炒+滷味+焗烤+輕食+點心，一次OK！</t>
  </si>
  <si>
    <t>http://cmu.ebook.hyread.com.tw/bookDetail.jsp?id=12459</t>
  </si>
  <si>
    <t xml:space="preserve">9789868343054	</t>
  </si>
  <si>
    <t>18</t>
  </si>
  <si>
    <t>EB000085825</t>
  </si>
  <si>
    <t>愛的料理師</t>
  </si>
  <si>
    <t>http://cmu.ebook.hyread.com.tw/bookDetail.jsp?id=6399</t>
  </si>
  <si>
    <t>2014/08/27</t>
  </si>
  <si>
    <t>2015/12/17</t>
  </si>
  <si>
    <t>教育</t>
  </si>
  <si>
    <t xml:space="preserve">9789867167835	</t>
  </si>
  <si>
    <t>周理慧</t>
  </si>
  <si>
    <t>103年度教卓經費購置</t>
  </si>
  <si>
    <t>以本校圖書館讀者帳密登入借閱</t>
  </si>
  <si>
    <t>U admin Y2015.M4.D29 10:36 59.120.40.123
M admin Y2015.M5.D27 17:03 59.120.40.122
M admin_cmu Y2015.M12.D17 9:11 140.128.69.21
M admin_cmu Y2019.M10.D3 9:08 140.128.69.28</t>
  </si>
  <si>
    <t>19</t>
  </si>
  <si>
    <t>EB000086167</t>
  </si>
  <si>
    <t>完美牛肉全牛烹飪料理事典：57道全世界都在享用的經典牛肉食譜</t>
  </si>
  <si>
    <t>http://cmu.ebook.hyread.com.tw/bookDetail.jsp?id=49340</t>
  </si>
  <si>
    <t xml:space="preserve">9789868933149	</t>
  </si>
  <si>
    <t>王永賢</t>
  </si>
  <si>
    <t>20</t>
  </si>
  <si>
    <t>EB000086170</t>
  </si>
  <si>
    <t>料理名人的世界廚房：5國60道最經典的異國家常菜</t>
  </si>
  <si>
    <t>http://cmu.ebook.hyread.com.tw/bookDetail.jsp?id=49339</t>
  </si>
  <si>
    <t xml:space="preserve">9789868933163	</t>
  </si>
  <si>
    <t>Sylvain, Winnie Fan, 貓兒, 蘿拉, 樂料理</t>
  </si>
  <si>
    <t>21</t>
  </si>
  <si>
    <t>EB000086185</t>
  </si>
  <si>
    <t>Eric極上私房料理</t>
  </si>
  <si>
    <t>http://cmu.ebook.hyread.com.tw/bookDetail.jsp?id=51389</t>
  </si>
  <si>
    <t>營養學</t>
  </si>
  <si>
    <t xml:space="preserve">9789868923027	</t>
  </si>
  <si>
    <t>李哲松</t>
  </si>
  <si>
    <t>U admin Y2015.M4.D29 10:36 59.120.40.123
M admin Y2015.M5.D27 17:03 59.120.40.122
M admin_cmu Y2015.M12.D17 14:07 140.128.69.21
M admin_cmu Y2019.M10.D3 9:08 140.128.69.28</t>
  </si>
  <si>
    <t>22</t>
  </si>
  <si>
    <t>EB000086198</t>
  </si>
  <si>
    <t>三步驟OK西式料理輕鬆上菜</t>
  </si>
  <si>
    <t>http://cmu.ebook.hyread.com.tw/bookDetail.jsp?id=40233</t>
  </si>
  <si>
    <t xml:space="preserve">9789868923034	</t>
  </si>
  <si>
    <t>吳志慶</t>
  </si>
  <si>
    <t>23</t>
  </si>
  <si>
    <t>EB000086288</t>
  </si>
  <si>
    <t>跟著節氣吃蔬果：一輩子都好用的安心蔬果採買料理聖經</t>
  </si>
  <si>
    <t>http://cmu.ebook.hyread.com.tw/bookDetail.jsp?id=44853</t>
  </si>
  <si>
    <t xml:space="preserve">9789868933132	</t>
  </si>
  <si>
    <t>24</t>
  </si>
  <si>
    <t>EB000086329</t>
  </si>
  <si>
    <t>究醬 手感釀物：超簡單50種 醬、醃、泡、釀的常民美味</t>
  </si>
  <si>
    <t>http://cmu.ebook.hyread.com.tw/bookDetail.jsp?id=22246</t>
  </si>
  <si>
    <t xml:space="preserve">9789866217357	</t>
  </si>
  <si>
    <t>作者：黃碧雲/料理示範，陳建志/撰文，張志銘/攝影</t>
  </si>
  <si>
    <t>25</t>
  </si>
  <si>
    <t>EB000086362</t>
  </si>
  <si>
    <t>99道零失敗五星級料理：超簡單3步驟，廚房新手也都會煮的美味三餐！</t>
  </si>
  <si>
    <t>http://cmu.ebook.hyread.com.tw/bookDetail.jsp?id=32393</t>
  </si>
  <si>
    <t xml:space="preserve">9789866175220	</t>
  </si>
  <si>
    <t>貓丸</t>
  </si>
  <si>
    <t>26</t>
  </si>
  <si>
    <t>EB000086397</t>
  </si>
  <si>
    <t>懶人料理365變(暢銷紀念版)</t>
  </si>
  <si>
    <t>http://cmu.ebook.hyread.com.tw/bookDetail.jsp?id=36966</t>
  </si>
  <si>
    <t>27</t>
  </si>
  <si>
    <t>EB000086427</t>
  </si>
  <si>
    <t>四季香草美味料理</t>
  </si>
  <si>
    <t>http://cmu.ebook.hyread.com.tw/bookDetail.jsp?id=51849</t>
  </si>
  <si>
    <t xml:space="preserve">9789866742767	</t>
  </si>
  <si>
    <t>簡旭芝</t>
  </si>
  <si>
    <t>28</t>
  </si>
  <si>
    <t>EB000086444</t>
  </si>
  <si>
    <t>76道家常粥麵料理</t>
  </si>
  <si>
    <t>http://cmu.ebook.hyread.com.tw/bookDetail.jsp?id=5727</t>
  </si>
  <si>
    <t xml:space="preserve">9867103459	</t>
  </si>
  <si>
    <t>郭啟昭、黃懷玲</t>
  </si>
  <si>
    <t>29</t>
  </si>
  <si>
    <t>EB000087302</t>
  </si>
  <si>
    <t>24節氣幸福養生學─這樣生活才健康的養生妙招與美食料理大全</t>
  </si>
  <si>
    <t>http://cmu.ebook.hyread.com.tw/bookDetail.jsp?id=31713</t>
  </si>
  <si>
    <t xml:space="preserve">9789862576441	</t>
  </si>
  <si>
    <t>朱太治、雙福</t>
  </si>
  <si>
    <t>U admin Y2015.M4.D29 10:36 59.120.40.123
M admin Y2015.M5.D27 17:03 59.120.40.122
M admin_cmu Y2019.M10.D3 9:09 140.128.69.28</t>
  </si>
  <si>
    <t>31</t>
  </si>
  <si>
    <t>EB000087392</t>
  </si>
  <si>
    <t>超人氣輕食美味好料理-健康窈窕滿點</t>
  </si>
  <si>
    <t>http://cmu.ebook.hyread.com.tw/bookDetail.jsp?id=51859</t>
  </si>
  <si>
    <t xml:space="preserve">9789862390535	</t>
  </si>
  <si>
    <t>32</t>
  </si>
  <si>
    <t>EB000088958</t>
  </si>
  <si>
    <t>低卡少油省荷包!懶人料理馬鈴薯365變:蒸、煮、炒、煎、烤、漬、滷、蜜、拌和烘焙,馬鈴薯真的什麼都能做!</t>
  </si>
  <si>
    <t>http://cmu.ebook.hyread.com.tw/bookDetail.jsp?id=36971</t>
  </si>
  <si>
    <t>2014/11/12</t>
  </si>
  <si>
    <t>EB:T-HyRead ebook</t>
  </si>
  <si>
    <t>臺灣學術電子書暨資料庫聯盟</t>
  </si>
  <si>
    <t>陳師蘭著;林許文二攝影</t>
  </si>
  <si>
    <t>台灣學術電子書聯盟</t>
  </si>
  <si>
    <t>33</t>
  </si>
  <si>
    <t>EB000089709</t>
  </si>
  <si>
    <t>新•經典料理</t>
  </si>
  <si>
    <t>http://www.airitibooks.com/Detail/Detail?PublicationID=P20131029004</t>
  </si>
  <si>
    <t>2014/11/20</t>
  </si>
  <si>
    <t>EB:T-華藝電子書airitibooks</t>
  </si>
  <si>
    <t xml:space="preserve">9789868931183	</t>
  </si>
  <si>
    <t>香港商酷彩法廚有限公司台灣分公司</t>
  </si>
  <si>
    <t>U admin Y2015.M4.D29 10:36 59.120.40.123
M admin Y2015.M5.D27 17:04 59.120.40.122</t>
  </si>
  <si>
    <t>34</t>
  </si>
  <si>
    <t>EB000099159</t>
  </si>
  <si>
    <t>食在有好鍋: 48道美味料理健康煮</t>
  </si>
  <si>
    <t>http://lb20.libraryandbook.net/FE/search_viewOpen.action?bookId=YsdsdebY18714360Y</t>
  </si>
  <si>
    <t>2015/09/24</t>
  </si>
  <si>
    <t>EB:T-L &amp; B</t>
  </si>
  <si>
    <t>源樺出版事業股份有限公司</t>
  </si>
  <si>
    <t>2010</t>
  </si>
  <si>
    <t>U admin_cmu Y2015.M9.D24 11:44 140.128.69.21</t>
  </si>
  <si>
    <t>35</t>
  </si>
  <si>
    <t>EB000099180</t>
  </si>
  <si>
    <t>做菜祕訣一點就通: 50道家常料理疑惑解答</t>
  </si>
  <si>
    <t>http://lb20.libraryandbook.net/FE/search_viewOpen.action?bookId=YsdsdebY1871436aY</t>
  </si>
  <si>
    <t>人類文化事業股份有限公司</t>
  </si>
  <si>
    <t xml:space="preserve">9789866238710	</t>
  </si>
  <si>
    <t>楊珮珊</t>
  </si>
  <si>
    <t>2011</t>
  </si>
  <si>
    <t>36</t>
  </si>
  <si>
    <t>EB000099207</t>
  </si>
  <si>
    <t>魚料理營養豐富</t>
  </si>
  <si>
    <t>http://lb20.libraryandbook.net/FE/search_viewOpen.action?bookId=YsdsdebY18714332Y</t>
  </si>
  <si>
    <t xml:space="preserve">9789864136247	</t>
  </si>
  <si>
    <t>郭泰王;王人豪</t>
  </si>
  <si>
    <t>37</t>
  </si>
  <si>
    <t>EB000100682</t>
  </si>
  <si>
    <t>走進日本人的家,學做道地家常菜:Joyce老師82道暖心媽媽味,讓你一次搞懂關東、關西、中部的料理與文化</t>
  </si>
  <si>
    <t>http://cmu.ebook.hyread.com.tw/bookDetail.jsp?id=61041</t>
  </si>
  <si>
    <t>2015/11/12</t>
  </si>
  <si>
    <t>語言學習</t>
  </si>
  <si>
    <t>時報文化</t>
  </si>
  <si>
    <t xml:space="preserve">9789571360744	</t>
  </si>
  <si>
    <t>郭靜黛著</t>
  </si>
  <si>
    <t>2014</t>
  </si>
  <si>
    <t>U admin_cmu Y2015.M11.D12 11:56 140.128.69.21</t>
  </si>
  <si>
    <t>38</t>
  </si>
  <si>
    <t>EB000100845</t>
  </si>
  <si>
    <t>臺灣好果食:54道滿足味蕾的水果料理</t>
  </si>
  <si>
    <t>http://cmu.ebook.hyread.com.tw/bookDetail.jsp?id=61033</t>
  </si>
  <si>
    <t>飲食和臨床營養</t>
  </si>
  <si>
    <t xml:space="preserve">9789571359885	</t>
  </si>
  <si>
    <t>柯亞作</t>
  </si>
  <si>
    <t>39</t>
  </si>
  <si>
    <t>EB000106266</t>
  </si>
  <si>
    <t>牛肉料理地圖55道異國牛肉料理</t>
  </si>
  <si>
    <t>https://cmu.ebook.hyread.com.tw/bookDetail.jsp?id=120845</t>
  </si>
  <si>
    <t>2018/07/06</t>
  </si>
  <si>
    <t>2019/10/03</t>
  </si>
  <si>
    <t>EB:HyRead ebook (2018上)</t>
  </si>
  <si>
    <t>高教深耕計畫補助款</t>
  </si>
  <si>
    <t>帕斯頓數位多媒體</t>
  </si>
  <si>
    <t xml:space="preserve">9789869402330	</t>
  </si>
  <si>
    <t>黃慶軒</t>
  </si>
  <si>
    <t>2017</t>
  </si>
  <si>
    <t>2018(上半年)HyRead ebook大學圖書館聯盟 / 107年高教深耕計畫經費購置</t>
  </si>
  <si>
    <t>永久使用權,每本書同時上線人數3人(1人COPY借閱+2人線上全本瀏覽);以本校圖書館讀者帳密登入借閱</t>
  </si>
  <si>
    <t>N</t>
  </si>
  <si>
    <t>U admin_cmu Y2018.M7.D6 15:08 140.128.69.28
M admin_cmu Y2019.M1.D18 13:35 140.128.69.28
M admin_cmu Y2019.M10.D3 9:09 140.128.69.28</t>
  </si>
  <si>
    <t>40</t>
  </si>
  <si>
    <t>EB000106402</t>
  </si>
  <si>
    <t>全世界找辣吃！自己做中日韓、南洋、美墨香辣料理，麻辣、酸辣、嗆辣、甜辣、辛香，全收錄好過癮。</t>
  </si>
  <si>
    <t>https://cmu.ebook.hyread.com.tw/bookDetail.jsp?id=128853</t>
  </si>
  <si>
    <t>野人文化</t>
  </si>
  <si>
    <t xml:space="preserve">9789863841760	</t>
  </si>
  <si>
    <t>Elisa Liu</t>
  </si>
  <si>
    <t>列印</t>
  </si>
  <si>
    <t>U admin_cmu Y2018.M7.D6 15:08 140.128.69.28
M admin_cmu Y2019.M1.D18 13:36 140.128.69.28
M admin_cmu Y2019.M10.D3 9:09 140.128.69.28</t>
  </si>
  <si>
    <t>41</t>
  </si>
  <si>
    <t>EB000106858</t>
  </si>
  <si>
    <t>家常菜這樣吃最健康：百變料理吸收全營養，打造燃脂健康力！輕鬆做</t>
  </si>
  <si>
    <t>https://cmu.ebook.hyread.com.tw/bookDetail.jsp?id=113179</t>
  </si>
  <si>
    <t>康鑑文化</t>
  </si>
  <si>
    <t xml:space="preserve">9789863733300	</t>
  </si>
  <si>
    <t>陳乃嘉</t>
  </si>
  <si>
    <t>2016</t>
  </si>
  <si>
    <t>42</t>
  </si>
  <si>
    <t>EB000106982</t>
  </si>
  <si>
    <t>常備鍋料理全書：用8款經典鍋具，燉肉、熬湯、煮飯、烤甜點等，做出66道東西方美味道地料理</t>
  </si>
  <si>
    <t>https://cmu.ebook.hyread.com.tw/bookDetail.jsp?id=141065</t>
  </si>
  <si>
    <t>采實文化</t>
  </si>
  <si>
    <t xml:space="preserve">9789869525695	</t>
  </si>
  <si>
    <t>陳姬元</t>
  </si>
  <si>
    <t>43</t>
  </si>
  <si>
    <t>EB000107183</t>
  </si>
  <si>
    <t>媽媽的五顆星料理</t>
  </si>
  <si>
    <t>https://cmu.ebook.hyread.com.tw/bookDetail.jsp?id=137257</t>
  </si>
  <si>
    <t>世一文化</t>
  </si>
  <si>
    <t xml:space="preserve">9789864292462	</t>
  </si>
  <si>
    <t>許麗萍</t>
  </si>
  <si>
    <t>44</t>
  </si>
  <si>
    <t>EB000107400</t>
  </si>
  <si>
    <t>廚藝好好玩：探究真正飲食科學‧破解廚房祕技‧料理好食物【全新增訂版】</t>
  </si>
  <si>
    <t>https://cmu.ebook.hyread.com.tw/bookDetail.jsp?id=119770</t>
  </si>
  <si>
    <t>奇光出版</t>
  </si>
  <si>
    <t xml:space="preserve">9789869368865	</t>
  </si>
  <si>
    <t>傑夫‧波特 Jeff Potter</t>
  </si>
  <si>
    <t>U admin_cmu Y2018.M7.D6 15:09 140.128.69.28
M admin_cmu Y2019.M1.D18 13:36 140.128.69.28
M admin_cmu Y2019.M10.D3 9:09 140.128.69.28</t>
  </si>
  <si>
    <t>45</t>
  </si>
  <si>
    <t>EB000109400</t>
  </si>
  <si>
    <t>款待生活的小鍋料理：1只小鍋、3種食材，60道拯救疲憊身心、暖胃暖心的小鍋料理</t>
  </si>
  <si>
    <t>http://www.airitibooks.com/detail.aspx?PublicationID=P20180830043</t>
  </si>
  <si>
    <t>2019/06/11</t>
  </si>
  <si>
    <t>食譜</t>
  </si>
  <si>
    <t>EB:F-華藝電子書airitibooks</t>
  </si>
  <si>
    <t>108年教育部校務發展獎勵、補助經費</t>
  </si>
  <si>
    <t>采實文化事業股份有限公司</t>
  </si>
  <si>
    <t xml:space="preserve">9789578950146	</t>
  </si>
  <si>
    <t>渡邊真紀;蔡麗蓉</t>
  </si>
  <si>
    <t>2018</t>
  </si>
  <si>
    <t>427</t>
  </si>
  <si>
    <t>108年教育部校務發展獎勵、補助經費--逢甲聯盟電子書</t>
  </si>
  <si>
    <t>2019上半年逢甲聯盟
購買起迄日：即日起至永久使用
使用範圍：校內IP範圍內
可使用書籍：680本(含贈品200本)。
可同時使用人數: 線上2人 / 離線30人</t>
  </si>
  <si>
    <t>U admin_cmu Y2019.M6.D11 9:51 140.128.69.28</t>
  </si>
  <si>
    <t>46</t>
  </si>
  <si>
    <t>EB000109444</t>
  </si>
  <si>
    <t>懶人料理教室</t>
  </si>
  <si>
    <t>http://www.airitibooks.com/detail.aspx?PublicationID=P20181004087</t>
  </si>
  <si>
    <t>遊藝及休閒活動</t>
  </si>
  <si>
    <t>Forms Kitchen</t>
  </si>
  <si>
    <t xml:space="preserve">9789621464651	</t>
  </si>
  <si>
    <t>Peggy先生</t>
  </si>
  <si>
    <t>990</t>
  </si>
  <si>
    <t>47</t>
  </si>
  <si>
    <t>EB000109949</t>
  </si>
  <si>
    <t>托斯卡尼的日常餐桌：豐饒食材及田園鄉間的美味家族料理，一起開動吧！</t>
  </si>
  <si>
    <t>http://www.airitibooks.com/Detail/Detail?PublicationID=P20171228006</t>
  </si>
  <si>
    <t>2019/08/02</t>
  </si>
  <si>
    <t>應用科學</t>
  </si>
  <si>
    <t>日月文化出版股份有限公司</t>
  </si>
  <si>
    <t xml:space="preserve">9789862486443	</t>
  </si>
  <si>
    <t>茱麗亞‧史卡帕麗佳（Giulia Scarpaleggia）</t>
  </si>
  <si>
    <t>427.12</t>
  </si>
  <si>
    <t>108年教育部校務發展獎勵、補助經費--逢甲聯盟電子書(第二次加贈220本)</t>
  </si>
  <si>
    <t>2019上半年逢甲聯盟
購買起迄日：即日起至永久使用
使用範圍：校內IP範圍內
可使用書籍：900本(含贈品420本)。
可同時使用人數: 線上2人 / 離線30人</t>
  </si>
  <si>
    <t>U admin_cmu Y2019.M8.D2 13:20 140.128.69.28</t>
  </si>
  <si>
    <t>48</t>
  </si>
  <si>
    <t>EB000110088</t>
  </si>
  <si>
    <t>半調理醃漬常備菜：5分鐘預先醃漬，讓週間菜色一變三的快速料理法</t>
  </si>
  <si>
    <t>http://www.airitibooks.com/Detail/Detail?PublicationID=P20181012056</t>
  </si>
  <si>
    <t>幸福文化</t>
  </si>
  <si>
    <t xml:space="preserve">9789869578585	</t>
  </si>
  <si>
    <t>范麗雯（Winnie）</t>
  </si>
  <si>
    <t>427.75</t>
  </si>
  <si>
    <t>U admin_cmu Y2019.M8.D2 13:21 140.128.69.28</t>
  </si>
  <si>
    <t>49</t>
  </si>
  <si>
    <t>EB000112709</t>
  </si>
  <si>
    <t>口感科學:由食物質地解讀大腦到舌尖的風味之源(收錄50道無國界全方位料理)</t>
  </si>
  <si>
    <t>https://cmu.ebook.hyread.com.tw/bookDetail.jsp?id=163315</t>
  </si>
  <si>
    <t>美食食譜</t>
  </si>
  <si>
    <t>EB:HyRead ebook (2019上)</t>
  </si>
  <si>
    <t>大寫出版  大雁文化發行</t>
  </si>
  <si>
    <t>978-957-9689-29-8</t>
  </si>
  <si>
    <t>歐雷.莫西森(Ole G. Mouritsen), 克拉夫斯.史帝貝克(Klavs Styrbæk)著;王翎譯</t>
  </si>
  <si>
    <t>初版</t>
  </si>
  <si>
    <t>2019(上半年)HyRead ebook大學圖書館聯盟 / 108年高教深耕計畫經費購置</t>
  </si>
  <si>
    <t>永久使用權,每本書同時上線人數3人(1人借閱+2人線上全本瀏覽);以本校圖書館讀者帳密登入借閱</t>
  </si>
  <si>
    <t>U admin_cmu Y2019.M10.D3 9:47 140.128.69.28</t>
  </si>
  <si>
    <t>50</t>
  </si>
  <si>
    <t>EB000112847</t>
  </si>
  <si>
    <t>月子餐料理王:170道產後坐月子滋補養身佳餚</t>
  </si>
  <si>
    <t>https://cmu.ebook.hyread.com.tw/bookDetail.jsp?id=146891</t>
  </si>
  <si>
    <t>人類智庫數位科技出版  人類文化發行代理  聯合發行經銷</t>
  </si>
  <si>
    <t>梁慧敏著</t>
  </si>
  <si>
    <t>51</t>
  </si>
  <si>
    <t>EB000112896</t>
  </si>
  <si>
    <t>台灣菜料理王:115道台灣菜做菜祕訣大公開</t>
  </si>
  <si>
    <t>https://cmu.ebook.hyread.com.tw/bookDetail.jsp?id=146905</t>
  </si>
  <si>
    <t>李鴻章, 劉政良, 張志賢示範</t>
  </si>
  <si>
    <t>52</t>
  </si>
  <si>
    <t>EB000113094</t>
  </si>
  <si>
    <t>助產院x貓森咖啡店160道安產料理:讓媽媽吃起來安心又美味</t>
  </si>
  <si>
    <t>https://cmu.ebook.hyread.com.tw/bookDetail.jsp?id=152217</t>
  </si>
  <si>
    <t>樂活文化出版  大和書報圖書經銷</t>
  </si>
  <si>
    <t>978-986-6252-53-2</t>
  </si>
  <si>
    <t>森洋子, 伊東優子監修;沈亮慧譯</t>
  </si>
  <si>
    <t>53</t>
  </si>
  <si>
    <t>EB000113175</t>
  </si>
  <si>
    <t>灶邊煮語:台灣閩客料理的對話</t>
  </si>
  <si>
    <t>https://cmu.ebook.hyread.com.tw/bookDetail.jsp?id=172965</t>
  </si>
  <si>
    <t>遠流</t>
  </si>
  <si>
    <t>978-957-32-8372-0</t>
  </si>
  <si>
    <t>陳淑華撰文.繪圖</t>
  </si>
  <si>
    <t>54</t>
  </si>
  <si>
    <t>EB000113226</t>
  </si>
  <si>
    <t>果醬二三事:22種時令水果x手作果醬x果醬料理</t>
  </si>
  <si>
    <t>https://cmu.ebook.hyread.com.tw/bookDetail.jsp?id=139726</t>
  </si>
  <si>
    <t>萬里機構.飲食天地出版  香港聯合書刊物流公司發行</t>
  </si>
  <si>
    <t>978-962-14-6004-2</t>
  </si>
  <si>
    <t>Jacqueline Ng編著</t>
  </si>
  <si>
    <t>55</t>
  </si>
  <si>
    <t>EB000113228</t>
  </si>
  <si>
    <t>法國主廚40道鑄鐵鍋料理:一鍋到底, 從主食到甜點, 燉出幸福好味道!</t>
  </si>
  <si>
    <t>https://cmu.ebook.hyread.com.tw/bookDetail.jsp?id=163188</t>
  </si>
  <si>
    <t>日月文化出版  聯合發行總經銷</t>
  </si>
  <si>
    <t>978-986-248-762-4</t>
  </si>
  <si>
    <t>文森.阿米耶(Vincent Amiel)著;王晶盈譯</t>
  </si>
  <si>
    <t>56</t>
  </si>
  <si>
    <t>EB000113321</t>
  </si>
  <si>
    <t>美好.溫暖.三明治:44道超乎想像的三明治機驚奇料理</t>
  </si>
  <si>
    <t>https://cmu.ebook.hyread.com.tw/bookDetail.jsp?id=146912</t>
  </si>
  <si>
    <t>978-957-13-7140-5</t>
  </si>
  <si>
    <t>好時光小群煮作</t>
  </si>
  <si>
    <t>57</t>
  </si>
  <si>
    <t>EB000113348</t>
  </si>
  <si>
    <t>食物配對健康加分:30種病症預防及食療料理</t>
  </si>
  <si>
    <t>https://cmu.ebook.hyread.com.tw/bookDetail.jsp?id=172388</t>
  </si>
  <si>
    <t>健康食療</t>
  </si>
  <si>
    <t>人類智庫數位科技出版  人類文化事業發行  聯合發行經銷</t>
  </si>
  <si>
    <t>蕭千祐審訂</t>
  </si>
  <si>
    <t>58</t>
  </si>
  <si>
    <t>EB000113351</t>
  </si>
  <si>
    <t>食療聖經.食譜版:預防.阻斷.逆轉15大慢性病的全食物蔬食x天然調味料理</t>
  </si>
  <si>
    <t>https://cmu.ebook.hyread.com.tw/bookDetail.jsp?id=161920</t>
  </si>
  <si>
    <t>漫遊者文化出版  大雁文化發行</t>
  </si>
  <si>
    <t>978-986-489-314-0</t>
  </si>
  <si>
    <t>麥克.葛雷格(Michael Greger), 金.史東(Gene Stone)合著;羅蘋.羅伯森(Robin Robertson)食譜設計;謝宜暉譯</t>
  </si>
  <si>
    <t>59</t>
  </si>
  <si>
    <t>EB000113362</t>
  </si>
  <si>
    <t>家常菜輕鬆做又健康:百變料理吸收全營養, 打造燃脂健康力!</t>
  </si>
  <si>
    <t>https://cmu.ebook.hyread.com.tw/bookDetail.jsp?id=172402</t>
  </si>
  <si>
    <t>人類智庫數位科技出版  人類文化發行  聯合發行經銷</t>
  </si>
  <si>
    <t>978-986-373-422-2</t>
  </si>
  <si>
    <t>陳乃嘉審定作者</t>
  </si>
  <si>
    <t>60</t>
  </si>
  <si>
    <t>EB000113363</t>
  </si>
  <si>
    <t>家常麵料理王:100種煮麵秘笈、打開味蕾的魔法</t>
  </si>
  <si>
    <t>https://cmu.ebook.hyread.com.tw/bookDetail.jsp?id=146938</t>
  </si>
  <si>
    <t>郭泰王, 王人豪著</t>
  </si>
  <si>
    <t>61</t>
  </si>
  <si>
    <t>EB000113404</t>
  </si>
  <si>
    <t>素食料理王:100多道素食, 原來也可以這麼好吃</t>
  </si>
  <si>
    <t>https://cmu.ebook.hyread.com.tw/bookDetail.jsp?id=145138</t>
  </si>
  <si>
    <t>古建邦, 施建瑋示範</t>
  </si>
  <si>
    <t>62</t>
  </si>
  <si>
    <t>EB000113453</t>
  </si>
  <si>
    <t>堆疊幸福的親子餐桌:幼兒飲食專家帶你做出50道營養滿分的健康料理</t>
  </si>
  <si>
    <t>https://cmu.ebook.hyread.com.tw/bookDetail.jsp?id=155090</t>
  </si>
  <si>
    <t>釀出版  秀威資訊科技發行  聯合發行總經銷</t>
  </si>
  <si>
    <t>978-986-445-229-3</t>
  </si>
  <si>
    <t>陳珮茹著</t>
  </si>
  <si>
    <t>BOD一版</t>
  </si>
  <si>
    <t>63</t>
  </si>
  <si>
    <t>EB000113477</t>
  </si>
  <si>
    <t>排寒去濕瘦更快!暖身薑料理:84道「薑暖食譜」不藏私大公開, 揮別虛冷, 提升燃脂力, 自然加倍瘦!</t>
  </si>
  <si>
    <t>https://cmu.ebook.hyread.com.tw/bookDetail.jsp?id=169382</t>
  </si>
  <si>
    <t>繪虹企業</t>
  </si>
  <si>
    <t>978-986-93678-3-7</t>
  </si>
  <si>
    <t>小曹, 樂活廚房著</t>
  </si>
  <si>
    <t>64</t>
  </si>
  <si>
    <t>EB000113500</t>
  </si>
  <si>
    <t>涼拌菜料理王:125道涼拌菜, 爽口開胃變化多</t>
  </si>
  <si>
    <t>https://cmu.ebook.hyread.com.tw/bookDetail.jsp?id=164382</t>
  </si>
  <si>
    <t>人類智庫出版  人類文化發行</t>
  </si>
  <si>
    <t>李志鴻, 李哲松著</t>
  </si>
  <si>
    <t>65</t>
  </si>
  <si>
    <t>EB000113501</t>
  </si>
  <si>
    <t>涼麵.沙拉料理王:118道開胃料理, 兩種美味一次滿足</t>
  </si>
  <si>
    <t>https://cmu.ebook.hyread.com.tw/bookDetail.jsp?id=164398</t>
  </si>
  <si>
    <t>李建軒, 康鑑文化編輯部著</t>
  </si>
  <si>
    <t>66</t>
  </si>
  <si>
    <t>EB000113506</t>
  </si>
  <si>
    <t>烹飪祕訣料理王:110道家常菜, 簡單易學零失敗</t>
  </si>
  <si>
    <t>https://cmu.ebook.hyread.com.tw/bookDetail.jsp?id=164374</t>
  </si>
  <si>
    <t>康鑑文化編輯部著</t>
  </si>
  <si>
    <t>67</t>
  </si>
  <si>
    <t>EB000113521</t>
  </si>
  <si>
    <t>第1本素西餐料理書:風尚.精緻.健康.美味的128品</t>
  </si>
  <si>
    <t>https://cmu.ebook.hyread.com.tw/bookDetail.jsp?id=159643</t>
  </si>
  <si>
    <t>邦聯文化</t>
  </si>
  <si>
    <t>978-986-6199-90-5</t>
  </si>
  <si>
    <t>李耀堂著</t>
  </si>
  <si>
    <t>68</t>
  </si>
  <si>
    <t>EB000113534</t>
  </si>
  <si>
    <t>莎莎的好感料理:滿載心意的100道美味提案</t>
  </si>
  <si>
    <t>https://cmu.ebook.hyread.com.tw/bookDetail.jsp?id=157659</t>
  </si>
  <si>
    <t>凱特文化出版  大和書報圖書經銷</t>
  </si>
  <si>
    <t>978-986-96201-2-3</t>
  </si>
  <si>
    <t>蔡佩珊(莎莎)著</t>
  </si>
  <si>
    <t>69</t>
  </si>
  <si>
    <t>EB000113535</t>
  </si>
  <si>
    <t>蛋.豆腐料理王:120道蛋、豆腐料理, 美味訣竅大公開</t>
  </si>
  <si>
    <t>https://cmu.ebook.hyread.com.tw/bookDetail.jsp?id=146939</t>
  </si>
  <si>
    <t>郭泰王, 呂永順, 陳彥志著</t>
  </si>
  <si>
    <t>70</t>
  </si>
  <si>
    <t>EB000113613</t>
  </si>
  <si>
    <t>無國界庶民料理</t>
  </si>
  <si>
    <t>https://cmu.ebook.hyread.com.tw/bookDetail.jsp?id=160224</t>
  </si>
  <si>
    <t>陳綉麗</t>
  </si>
  <si>
    <t>978-957-43-4677-6</t>
  </si>
  <si>
    <t>陳綉麗著</t>
  </si>
  <si>
    <t>71</t>
  </si>
  <si>
    <t>EB000113639</t>
  </si>
  <si>
    <t>絕美肉燥的三十道滋味:以肉燥為基底, 做出美味簡單的好料理</t>
  </si>
  <si>
    <t>https://cmu.ebook.hyread.com.tw/bookDetail.jsp?id=144203</t>
  </si>
  <si>
    <t>心晴出版  禾堂文創志業發行</t>
  </si>
  <si>
    <t>978-986-92481-2-9</t>
  </si>
  <si>
    <t>心晴編輯小組作;黛可攝影</t>
  </si>
  <si>
    <t>72</t>
  </si>
  <si>
    <t>EB000113683</t>
  </si>
  <si>
    <t>飯糰.壽司料理王:野餐露營必學, 快速簡易輕鬆做</t>
  </si>
  <si>
    <t>https://cmu.ebook.hyread.com.tw/bookDetail.jsp?id=172476</t>
  </si>
  <si>
    <t>王景茹, 康鑑文化編輯部著</t>
  </si>
  <si>
    <t>73</t>
  </si>
  <si>
    <t>EB000113699</t>
  </si>
  <si>
    <t>媽媽廚房 涼拌蔬食常備菜:94道經典蔬食料理+56道美味醬料</t>
  </si>
  <si>
    <t>https://cmu.ebook.hyread.com.tw/bookDetail.jsp?id=164365</t>
  </si>
  <si>
    <t>978-986-373-411-6</t>
  </si>
  <si>
    <t>張志賢, 李志鴻, 李哲松著</t>
  </si>
  <si>
    <t>74</t>
  </si>
  <si>
    <t>EB000113708</t>
  </si>
  <si>
    <t>愛妻瘦身便當:貝蒂教你料理新手也能輕鬆搞定, 好吃、不胖、吸睛、低卡便當, 110道料理健康剷肉1年16公斤</t>
  </si>
  <si>
    <t>https://cmu.ebook.hyread.com.tw/bookDetail.jsp?id=162522</t>
  </si>
  <si>
    <t>野人文化出版  遠足文化發行</t>
  </si>
  <si>
    <t>978-986-384-279-8</t>
  </si>
  <si>
    <t>貝蒂做便當著</t>
  </si>
  <si>
    <t>75</t>
  </si>
  <si>
    <t>EB000113738</t>
  </si>
  <si>
    <t>極品湯之味:高湯專家x料理達人, 教你用8種鮮高湯, 煮出36道頂級湯料理</t>
  </si>
  <si>
    <t>https://cmu.ebook.hyread.com.tw/bookDetail.jsp?id=173867</t>
  </si>
  <si>
    <t>978-986-248-794-5</t>
  </si>
  <si>
    <t>杵島隆太, 鵜飼真妃, 友利新講師;日本放送協會, NHK出版作;王薇婷譯</t>
  </si>
  <si>
    <t>2019</t>
  </si>
  <si>
    <t>76</t>
  </si>
  <si>
    <t>EB000113744</t>
  </si>
  <si>
    <t>煎餅.家常餅料理王:一次學會, 最受歡迎130種家常餅</t>
  </si>
  <si>
    <t>https://cmu.ebook.hyread.com.tw/bookDetail.jsp?id=164419</t>
  </si>
  <si>
    <t>鄭元魁, 王景茹著</t>
  </si>
  <si>
    <t>77</t>
  </si>
  <si>
    <t>EB000113763</t>
  </si>
  <si>
    <t>義大利麵:50道傳統義式輕料理</t>
  </si>
  <si>
    <t>https://cmu.ebook.hyread.com.tw/bookDetail.jsp?id=158655</t>
  </si>
  <si>
    <t>大石國際文化出版  大和書報圖書總代理</t>
  </si>
  <si>
    <t>978-986-5918-34-7</t>
  </si>
  <si>
    <t>百味來廚藝學院著;林潔盈翻譯</t>
  </si>
  <si>
    <t>2013</t>
  </si>
  <si>
    <t>78</t>
  </si>
  <si>
    <t>EB000113805</t>
  </si>
  <si>
    <t>電鍋料理王:120道電鍋好菜.蒸煮燒燜一鍋搞定</t>
  </si>
  <si>
    <t>https://cmu.ebook.hyread.com.tw/bookDetail.jsp?id=145136</t>
  </si>
  <si>
    <t>郭子儀等著</t>
  </si>
  <si>
    <t>79</t>
  </si>
  <si>
    <t>EB000113825</t>
  </si>
  <si>
    <t>滷味料理王:100多種家常滷味、滷汁秘方全收錄</t>
  </si>
  <si>
    <t>https://cmu.ebook.hyread.com.tw/bookDetail.jsp?id=146896</t>
  </si>
  <si>
    <t>何建彬監製;王景茹, 陳鴻源示範</t>
  </si>
  <si>
    <t>80</t>
  </si>
  <si>
    <t>EB000113835</t>
  </si>
  <si>
    <t>漫遊舒食異國料理</t>
  </si>
  <si>
    <t>https://cmu.ebook.hyread.com.tw/bookDetail.jsp?id=163430</t>
  </si>
  <si>
    <t>時兆出版  聯合發行總經銷</t>
  </si>
  <si>
    <t>978-986-6314-79-7</t>
  </si>
  <si>
    <t>臺安醫院營養課編著;紹信成等攝影</t>
  </si>
  <si>
    <t>81</t>
  </si>
  <si>
    <t>EB000113897</t>
  </si>
  <si>
    <t>餅乾.蛋糕料理王:118種打卡甜點, 新手也能簡單上手</t>
  </si>
  <si>
    <t>https://cmu.ebook.hyread.com.tw/bookDetail.jsp?id=164406</t>
  </si>
  <si>
    <t>吳金燕著</t>
  </si>
  <si>
    <t>82</t>
  </si>
  <si>
    <t>EB000113934</t>
  </si>
  <si>
    <t>蔬果汁料理王:168道健康蔬果汁, 喝出好體質</t>
  </si>
  <si>
    <t>https://cmu.ebook.hyread.com.tw/bookDetail.jsp?id=164364</t>
  </si>
  <si>
    <t>陳冠廷著</t>
  </si>
  <si>
    <t>83</t>
  </si>
  <si>
    <t>EB000114029</t>
  </si>
  <si>
    <t>醬料料理王:100多道美味醬汁, 調味秘訣大放送</t>
  </si>
  <si>
    <t>https://cmu.ebook.hyread.com.tw/bookDetail.jsp?id=145143</t>
  </si>
  <si>
    <t>王景茹, 楊珮珊, 莊芷儀示範</t>
  </si>
  <si>
    <t>EB000113068</t>
  </si>
  <si>
    <t>自炊食代の愛女便當</t>
  </si>
  <si>
    <t>https://cmu.ebook.hyread.com.tw/bookDetail.jsp?id=160308</t>
  </si>
  <si>
    <t>方智出版社</t>
  </si>
  <si>
    <t>978-986-175-450-5</t>
  </si>
  <si>
    <t>極光作</t>
  </si>
  <si>
    <t>EB000062322</t>
  </si>
  <si>
    <t>用電鍋做好菜</t>
  </si>
  <si>
    <t>http://www.airitibooks.com/detail.aspx?PublicationID=P20091216217</t>
  </si>
  <si>
    <t>2010/11/26</t>
  </si>
  <si>
    <t xml:space="preserve">9789575658243	</t>
  </si>
  <si>
    <t>*永久使用
*1copy3user</t>
  </si>
  <si>
    <t>U admin Y2015.M4.D29 10:33 59.120.40.123
M admin Y2015.M5.D27 16:53 59.120.40.122</t>
  </si>
  <si>
    <t>EB000080823</t>
  </si>
  <si>
    <t>電鍋煮好湯</t>
  </si>
  <si>
    <t>http://www.airitibooks.com/detail.aspx?PublicationID=P20120704038</t>
  </si>
  <si>
    <t xml:space="preserve">9789866199301	</t>
  </si>
  <si>
    <t>EB000081022</t>
  </si>
  <si>
    <t>電鍋燉補真簡單</t>
  </si>
  <si>
    <t>http://www.airitibooks.com/detail.aspx?PublicationID=P20110819002</t>
  </si>
  <si>
    <t>醫藥</t>
  </si>
  <si>
    <t xml:space="preserve">9789866232121	</t>
  </si>
  <si>
    <t>EB000082377</t>
  </si>
  <si>
    <t>快手電鍋菜100</t>
  </si>
  <si>
    <t>http://www.airitibooks.com/detail.aspx?PublicationID=P20110819013</t>
  </si>
  <si>
    <t xml:space="preserve">9789866199028	</t>
  </si>
  <si>
    <t>EB000099234</t>
  </si>
  <si>
    <t>電鍋王</t>
  </si>
  <si>
    <t>http://lb20.libraryandbook.net/FE/search_viewOpen.action?bookId=YsdsdebY18714975Y</t>
  </si>
  <si>
    <t>人類文化事業有限公司</t>
  </si>
  <si>
    <t xml:space="preserve">9789864135790	</t>
  </si>
  <si>
    <t>郭子儀;陳冠廷;陳彥志</t>
  </si>
  <si>
    <t>U admin Y2015.M4.D29 10:03 59.120.40.123
M admin Y2015.M5.D27 16:50 59.120.40.122</t>
  </si>
  <si>
    <t>EB000081050</t>
  </si>
  <si>
    <t>煮一鍋好湯：100種養生湯的美味秘訣</t>
  </si>
  <si>
    <t>http://www.airitibooks.com/detail.aspx?PublicationID=P20111023031</t>
  </si>
  <si>
    <t xml:space="preserve">9789866266003	</t>
  </si>
  <si>
    <t>王瑞秋</t>
  </si>
  <si>
    <t>EB000081204</t>
  </si>
  <si>
    <t>電子鍋炊飯燉湯粥</t>
  </si>
  <si>
    <t>http://www.airitibooks.com/detail.aspx?PublicationID=P20110701013</t>
  </si>
  <si>
    <t xml:space="preserve">9789868555259	</t>
  </si>
  <si>
    <t>林昕志</t>
  </si>
  <si>
    <t>EB000082669</t>
  </si>
  <si>
    <t>善用妳的鍋</t>
  </si>
  <si>
    <t>http://www.airitibooks.com/detail.aspx?PublicationID=P20091201037</t>
  </si>
  <si>
    <t xml:space="preserve">9789866655333	</t>
  </si>
  <si>
    <t>洪白陽</t>
  </si>
  <si>
    <t>EB000082863</t>
  </si>
  <si>
    <t>用電子鍋煲飯做菜玩點心</t>
  </si>
  <si>
    <t>http://www.airitibooks.com/detail.aspx?PublicationID=P20091216218</t>
  </si>
  <si>
    <t xml:space="preserve">9789575658250	</t>
  </si>
  <si>
    <t>洪廷瑋</t>
  </si>
  <si>
    <t>2015/07/30</t>
  </si>
  <si>
    <t>化學工業出版社</t>
  </si>
  <si>
    <t>U admin_cmu Y2015.M7.D30 16:09 140.128.69.21</t>
  </si>
  <si>
    <t>EB000093528</t>
  </si>
  <si>
    <t>火鍋製作與經營全書</t>
  </si>
  <si>
    <t>http://www.apabi.com/cec/pub.mvc?pid=book.detail&amp;metaid=m.20121022-SGD-889-0082&amp;cult=TW</t>
  </si>
  <si>
    <t>中國輕工業出版社</t>
  </si>
  <si>
    <t>978-7-5019-6695-0</t>
  </si>
  <si>
    <t>李樂清</t>
  </si>
  <si>
    <t>2009</t>
  </si>
  <si>
    <t>EB000098505</t>
  </si>
  <si>
    <t>鍋爐節能減排知識問答  電站鍋爐篇</t>
  </si>
  <si>
    <t>http://www.apabi.com/cec/pub.mvc?pid=book.detail&amp;metaid=m.20100813-m802-w026-055&amp;cult=TW</t>
  </si>
  <si>
    <t>華南理工大學出版社</t>
  </si>
  <si>
    <t>978-7-5623-3161-2</t>
  </si>
  <si>
    <t>廣東省特種設備行業協會</t>
  </si>
  <si>
    <t>0</t>
  </si>
  <si>
    <t>EB000099058</t>
  </si>
  <si>
    <t>一鍋搞定全家營養餐</t>
  </si>
  <si>
    <t>http://lb20.libraryandbook.net/FE/search_viewOpen.action?bookId=YsdsdebY1871435dY</t>
  </si>
  <si>
    <t xml:space="preserve">9789866238086	</t>
  </si>
  <si>
    <t>莊芷儀;健康廚房烹飪</t>
  </si>
  <si>
    <t>EB000106459</t>
  </si>
  <si>
    <t>自家製原味鍋家常菜</t>
  </si>
  <si>
    <t>https://cmu.ebook.hyread.com.tw/bookDetail.jsp?id=140194</t>
  </si>
  <si>
    <t>香港壹出版</t>
  </si>
  <si>
    <t xml:space="preserve">9789888269228	</t>
  </si>
  <si>
    <t>JOE</t>
  </si>
  <si>
    <t>2015</t>
  </si>
  <si>
    <t>EB000106615</t>
  </si>
  <si>
    <t>走進世界廚房：廚房很有愛！一起享用各地好朋友鍋碗瓢盆裡的交換秘密</t>
  </si>
  <si>
    <t>https://cmu.ebook.hyread.com.tw/bookDetail.jsp?id=135096</t>
  </si>
  <si>
    <t>原點出版</t>
  </si>
  <si>
    <t xml:space="preserve">9789865657901	</t>
  </si>
  <si>
    <t>Soupy</t>
  </si>
  <si>
    <t>EB000109276</t>
  </si>
  <si>
    <t>極簡純蔬者的無麩質餐桌：一鍋到底╳30分鐘╳10項食材，雜食者也熱愛的豐盈口感，改變你的餐桌和生活！</t>
  </si>
  <si>
    <t>http://www.airitibooks.com/detail.aspx?PublicationID=P20180413083</t>
  </si>
  <si>
    <t xml:space="preserve">9789862486740	</t>
  </si>
  <si>
    <t>達娜‧舒爾茲（Dana Shultz）;松露玫瑰</t>
  </si>
  <si>
    <t>EB000113000</t>
  </si>
  <si>
    <t>好吃又澎湃!創意熱炒40道:一鍋三步驟, 從家常到宴客, 豐盛食材美味上桌!</t>
  </si>
  <si>
    <t>https://cmu.ebook.hyread.com.tw/bookDetail.jsp?id=163182</t>
  </si>
  <si>
    <t>978-986-248-757-0</t>
  </si>
  <si>
    <t>瓦勒利.多樂(Valéry Drouet)著;王晶盈譯</t>
  </si>
  <si>
    <t>EB000062426</t>
  </si>
  <si>
    <t>煮炒醬料大公開</t>
  </si>
  <si>
    <t>http://www.airitibooks.com/detail.aspx?PublicationID=P20100211006</t>
  </si>
  <si>
    <t xml:space="preserve">9789866890734	</t>
  </si>
  <si>
    <t>程顯灝</t>
  </si>
  <si>
    <t>EB000062427</t>
  </si>
  <si>
    <t>第一次做飯煮麵</t>
  </si>
  <si>
    <t>http://www.airitibooks.com/detail.aspx?PublicationID=P20100211007</t>
  </si>
  <si>
    <t xml:space="preserve">9789866890444	</t>
  </si>
  <si>
    <t>美食編輯小組企劃</t>
  </si>
  <si>
    <t>EB000081215</t>
  </si>
  <si>
    <t>吃出長壽的蕃茄〈煮〉張</t>
  </si>
  <si>
    <t>http://www.airitibooks.com/detail.aspx?PublicationID=P20090219031</t>
  </si>
  <si>
    <t xml:space="preserve">9789866856044	</t>
  </si>
  <si>
    <t>劉正才</t>
  </si>
  <si>
    <t>EB000082133</t>
  </si>
  <si>
    <t>無油煙輕鬆煮</t>
  </si>
  <si>
    <t>http://www.airitibooks.com/detail.aspx?PublicationID=P20120704028</t>
  </si>
  <si>
    <t xml:space="preserve">9789866232206	</t>
  </si>
  <si>
    <t>EB000086224</t>
  </si>
  <si>
    <t>好吃鬼煮意(第二版)</t>
  </si>
  <si>
    <t>http://cmu.ebook.hyread.com.tw/bookDetail.jsp?id=40273</t>
  </si>
  <si>
    <t xml:space="preserve">9789888223572	</t>
  </si>
  <si>
    <t>鬼嫁</t>
  </si>
  <si>
    <t>EB000096655</t>
  </si>
  <si>
    <t>煮酒探西遊：吳閑雲詳解西遊記</t>
  </si>
  <si>
    <t>http://www.apabi.com/cec/pub.mvc?pid=book.detail&amp;metaid=m.20130925-WXNX-889-0155&amp;cult=TW</t>
  </si>
  <si>
    <t>河北人民出版社</t>
  </si>
  <si>
    <t>978-7-202-07839-6</t>
  </si>
  <si>
    <t>吳閑雲</t>
  </si>
  <si>
    <t>EB000106413</t>
  </si>
  <si>
    <t>吃出天然芳草味：今天就試煮香草美食</t>
  </si>
  <si>
    <t>https://cmu.ebook.hyread.com.tw/bookDetail.jsp?id=136323</t>
  </si>
  <si>
    <t>經濟日報</t>
  </si>
  <si>
    <t xml:space="preserve">9789626789025	</t>
  </si>
  <si>
    <t>王少可</t>
  </si>
  <si>
    <t>EB000106886</t>
  </si>
  <si>
    <t>泰美味鬼煮意</t>
  </si>
  <si>
    <t>https://cmu.ebook.hyread.com.tw/bookDetail.jsp?id=99836</t>
  </si>
  <si>
    <t>青馬文化</t>
  </si>
  <si>
    <t xml:space="preserve">9789888276516	</t>
  </si>
  <si>
    <t>EB000113357</t>
  </si>
  <si>
    <t>原味煮意</t>
  </si>
  <si>
    <t>https://cmu.ebook.hyread.com.tw/bookDetail.jsp?id=139716</t>
  </si>
  <si>
    <t>Forms Kitchen出版  香港聯合書刊物流公司發行</t>
  </si>
  <si>
    <t>978-962-14-6102-5</t>
  </si>
  <si>
    <t>Rita Shum作</t>
  </si>
  <si>
    <t>EB000113564</t>
  </si>
  <si>
    <t>陳鴻上菜 粗糧煮意:健康鴻食代, 反璞歸真:節氣養生</t>
  </si>
  <si>
    <t>https://cmu.ebook.hyread.com.tw/bookDetail.jsp?id=159423</t>
  </si>
  <si>
    <t>978-957-32-8244-0</t>
  </si>
  <si>
    <t>陳鴻, 周祥俊作</t>
  </si>
  <si>
    <t>EB000113764</t>
  </si>
  <si>
    <t>腳踏車與糖煮魚</t>
  </si>
  <si>
    <t>https://cmu.ebook.hyread.com.tw/bookDetail.jsp?id=162683</t>
  </si>
  <si>
    <t>散文</t>
  </si>
  <si>
    <t>九歌</t>
  </si>
  <si>
    <t>978-986-450-190-8</t>
  </si>
  <si>
    <t>吳敏顯著</t>
  </si>
  <si>
    <t>EB000107239</t>
  </si>
  <si>
    <t>經典家常炒時蔬</t>
  </si>
  <si>
    <t>https://cmu.ebook.hyread.com.tw/bookDetail.jsp?id=147021</t>
  </si>
  <si>
    <t>崧博出版事業有限公司</t>
  </si>
  <si>
    <t xml:space="preserve">9789577353177	</t>
  </si>
  <si>
    <t>本書編寫組編著</t>
  </si>
  <si>
    <t>EB000107238</t>
  </si>
  <si>
    <t>經典炒飯燴飯</t>
  </si>
  <si>
    <t>https://cmu.ebook.hyread.com.tw/bookDetail.jsp?id=147020</t>
  </si>
  <si>
    <t xml:space="preserve">9789577353160	</t>
  </si>
  <si>
    <t>EB000082353</t>
  </si>
  <si>
    <t>川菜熱炒真簡單</t>
  </si>
  <si>
    <t>http://www.airitibooks.com/detail.aspx?PublicationID=P20110701019</t>
  </si>
  <si>
    <t xml:space="preserve">9789866232015	</t>
  </si>
  <si>
    <t>劉仁華</t>
  </si>
  <si>
    <t>EB000081195</t>
  </si>
  <si>
    <t>廚房新手東問西答</t>
  </si>
  <si>
    <t>http://www.airitibooks.com/detail.aspx?PublicationID=P20120523029</t>
  </si>
  <si>
    <t xml:space="preserve">9789866238697	</t>
  </si>
  <si>
    <t>桂台樺</t>
  </si>
  <si>
    <t>EB000062530</t>
  </si>
  <si>
    <t>廚房生活智慧通</t>
  </si>
  <si>
    <t>http://www.airitibooks.com/detail.aspx?PublicationID=P20100614005</t>
  </si>
  <si>
    <t xml:space="preserve">9789868524910	</t>
  </si>
  <si>
    <t>桂氏文化編輯部</t>
  </si>
  <si>
    <t>EB000042357</t>
  </si>
  <si>
    <t>廚房器具與設備</t>
  </si>
  <si>
    <t>http://cec.lib.apabi.com/product2.asp?lang=big5&amp;Docid=39981</t>
  </si>
  <si>
    <t>輕、手工業</t>
  </si>
  <si>
    <t>978-7-5641-0786-4</t>
  </si>
  <si>
    <t>曹仲文</t>
  </si>
  <si>
    <t>EB000086294</t>
  </si>
  <si>
    <t>酵素廚房：66道享樂主義的輕食佳餚</t>
  </si>
  <si>
    <t>http://cmu.ebook.hyread.com.tw/bookDetail.jsp?id=51349</t>
  </si>
  <si>
    <t xml:space="preserve">9789570528237	</t>
  </si>
  <si>
    <t>邵麗華</t>
  </si>
  <si>
    <t>EB000079027</t>
  </si>
  <si>
    <t>媽媽沒教的家常菜-健康廚房</t>
  </si>
  <si>
    <t>http://cmu.ebook.hyread.com.tw/bookDetail.jsp?id=4550</t>
  </si>
  <si>
    <t xml:space="preserve">9789866238277	</t>
  </si>
  <si>
    <t>EB000083646</t>
  </si>
  <si>
    <t>無菜單私的味廚房</t>
  </si>
  <si>
    <t>http://cmu.ebook.hyread.com.tw/bookDetail.jsp?id=18556</t>
  </si>
  <si>
    <t xml:space="preserve">9789868684799	</t>
  </si>
  <si>
    <t>欣傳媒編輯群</t>
  </si>
  <si>
    <t>EB000081206</t>
  </si>
  <si>
    <t>森林系健康輕食廚房</t>
  </si>
  <si>
    <t>http://www.airitibooks.com/detail.aspx?PublicationID=P20111013003</t>
  </si>
  <si>
    <t xml:space="preserve">9789866487477	</t>
  </si>
  <si>
    <t>王怡之</t>
  </si>
  <si>
    <t>EB000093175</t>
  </si>
  <si>
    <t>中餐廚房裡的養生菜</t>
  </si>
  <si>
    <t>http://www.apabi.com/cec/pub.mvc?pid=book.detail&amp;metaid=m.20130805-WXNX-889-0157&amp;cult=TW</t>
  </si>
  <si>
    <t>978-7-122-09874-0</t>
  </si>
  <si>
    <t>夏金龍</t>
  </si>
  <si>
    <t>EB000106260</t>
  </si>
  <si>
    <t>水哥廚房：蒸．好生活</t>
  </si>
  <si>
    <t>https://cmu.ebook.hyread.com.tw/bookDetail.jsp?id=109378</t>
  </si>
  <si>
    <t>萬里機構出版有限公司</t>
  </si>
  <si>
    <t xml:space="preserve">9789621458131	</t>
  </si>
  <si>
    <t>紀曉華</t>
  </si>
  <si>
    <t>EB000106481</t>
  </si>
  <si>
    <t>低醣．生酮10分鐘甜點廚房：以杏仁粉、椰子粉取代麵粉，赤藻糖醇代替精緻砂糖，精心設計最簡易、即食的65道美味甜點</t>
  </si>
  <si>
    <t>https://cmu.ebook.hyread.com.tw/bookDetail.jsp?id=141075</t>
  </si>
  <si>
    <t xml:space="preserve">9789578950023	</t>
  </si>
  <si>
    <t>EB000082451</t>
  </si>
  <si>
    <t>我就是想住這樣的家：客廳+廚房+餐廳簡單設計開心享受</t>
  </si>
  <si>
    <t>http://www.airitibooks.com/detail.aspx?PublicationID=P20111012035</t>
  </si>
  <si>
    <t xml:space="preserve">9789866452505	</t>
  </si>
  <si>
    <t>林芷欣</t>
  </si>
  <si>
    <t>深夜廚房 : 亞洲廚神味自慢家庭風料理 / 李佳其，李佳和著 ; 楊志雄攝影臺北市 : 四塊玉文化, 2013.01</t>
    <phoneticPr fontId="18" type="noConversion"/>
  </si>
  <si>
    <t>題名</t>
    <phoneticPr fontId="18" type="noConversion"/>
  </si>
  <si>
    <t>「閱讀好滋味 煮出好美味」主題書展清單</t>
    <phoneticPr fontId="18" type="noConversion"/>
  </si>
  <si>
    <r>
      <t>「閱讀好滋味</t>
    </r>
    <r>
      <rPr>
        <sz val="16"/>
        <color theme="1"/>
        <rFont val="Calibri"/>
        <family val="2"/>
      </rPr>
      <t xml:space="preserve"> </t>
    </r>
    <r>
      <rPr>
        <sz val="16"/>
        <color theme="1"/>
        <rFont val="新細明體"/>
        <family val="1"/>
        <charset val="136"/>
      </rPr>
      <t>煮出好美味」電子書主題書展清單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</si>
</sst>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</font>
    <font>
      <sz val="16"/>
      <color theme="1"/>
      <name val="Calibri"/>
      <family val="2"/>
    </font>
    <font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Times New Roman"/>
      <family val="1"/>
    </font>
    <font>
      <sz val="1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0" xfId="0" applyBorder="1">
      <alignment vertical="center"/>
    </xf>
    <xf numFmtId="0" fontId="19" fillId="0" borderId="0" xfId="0" applyFont="1">
      <alignment vertical="center"/>
    </xf>
    <xf numFmtId="0" fontId="20" fillId="0" borderId="11" xfId="0" applyFont="1" applyBorder="1" applyAlignment="1">
      <alignment horizontal="center" vertical="center"/>
    </xf>
    <xf numFmtId="0" fontId="22" fillId="0" borderId="10" xfId="0" applyFont="1" applyBorder="1">
      <alignment vertical="center"/>
    </xf>
    <xf numFmtId="0" fontId="22" fillId="33" borderId="10" xfId="0" applyFont="1" applyFill="1" applyBorder="1">
      <alignment vertical="center"/>
    </xf>
    <xf numFmtId="0" fontId="22" fillId="0" borderId="0" xfId="0" applyFont="1">
      <alignment vertical="center"/>
    </xf>
    <xf numFmtId="0" fontId="23" fillId="0" borderId="10" xfId="0" applyFont="1" applyBorder="1">
      <alignment vertical="center"/>
    </xf>
    <xf numFmtId="0" fontId="23" fillId="0" borderId="0" xfId="0" applyFont="1">
      <alignment vertical="center"/>
    </xf>
    <xf numFmtId="0" fontId="0" fillId="0" borderId="10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26" fillId="0" borderId="10" xfId="0" applyFont="1" applyFill="1" applyBorder="1" applyAlignment="1" applyProtection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Fill="1" applyBorder="1" applyAlignment="1" applyProtection="1">
      <alignment vertical="top" wrapText="1"/>
    </xf>
    <xf numFmtId="0" fontId="26" fillId="0" borderId="10" xfId="0" applyFont="1" applyFill="1" applyBorder="1" applyAlignment="1" applyProtection="1">
      <alignment vertical="top" wrapText="1"/>
    </xf>
    <xf numFmtId="0" fontId="25" fillId="0" borderId="1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1"/>
  <sheetViews>
    <sheetView topLeftCell="C1" workbookViewId="0">
      <selection activeCell="C6" sqref="C6"/>
    </sheetView>
  </sheetViews>
  <sheetFormatPr defaultRowHeight="25.05" customHeight="1" x14ac:dyDescent="0.3"/>
  <cols>
    <col min="1" max="2" width="0" hidden="1" customWidth="1"/>
    <col min="3" max="3" width="94" style="8" customWidth="1"/>
    <col min="4" max="4" width="24" hidden="1" customWidth="1"/>
    <col min="5" max="5" width="22.21875" hidden="1" customWidth="1"/>
    <col min="6" max="7" width="8.88671875" hidden="1" customWidth="1"/>
    <col min="8" max="8" width="2" hidden="1" customWidth="1"/>
    <col min="9" max="9" width="25.109375" style="6" customWidth="1"/>
    <col min="10" max="10" width="20.33203125" style="6" customWidth="1"/>
    <col min="11" max="11" width="16.6640625" hidden="1" customWidth="1"/>
    <col min="12" max="16" width="0" hidden="1" customWidth="1"/>
    <col min="17" max="27" width="6.44140625" hidden="1" customWidth="1"/>
    <col min="28" max="28" width="0.33203125" customWidth="1"/>
  </cols>
  <sheetData>
    <row r="1" spans="1:25" s="2" customFormat="1" ht="45" customHeight="1" x14ac:dyDescent="0.3">
      <c r="C1" s="3" t="s">
        <v>3057</v>
      </c>
      <c r="D1" s="3"/>
      <c r="E1" s="3"/>
      <c r="F1" s="3"/>
      <c r="G1" s="3"/>
      <c r="H1" s="3"/>
      <c r="I1" s="3"/>
      <c r="J1" s="3"/>
    </row>
    <row r="2" spans="1:25" s="11" customFormat="1" ht="25.05" customHeight="1" x14ac:dyDescent="0.3">
      <c r="A2" s="9" t="s">
        <v>0</v>
      </c>
      <c r="B2" s="9" t="s">
        <v>1</v>
      </c>
      <c r="C2" s="10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0" t="s">
        <v>15</v>
      </c>
      <c r="J2" s="10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</row>
    <row r="3" spans="1:25" ht="25.05" customHeight="1" x14ac:dyDescent="0.3">
      <c r="A3" s="1">
        <v>236</v>
      </c>
      <c r="B3" s="1" t="s">
        <v>25</v>
      </c>
      <c r="C3" s="7" t="s">
        <v>1264</v>
      </c>
      <c r="D3" s="1" t="s">
        <v>1265</v>
      </c>
      <c r="E3" s="1" t="s">
        <v>1266</v>
      </c>
      <c r="F3" s="1" t="s">
        <v>1135</v>
      </c>
      <c r="G3" s="1">
        <v>2017</v>
      </c>
      <c r="H3" s="1" t="s">
        <v>1267</v>
      </c>
      <c r="I3" s="4" t="s">
        <v>1269</v>
      </c>
      <c r="J3" s="4" t="s">
        <v>30</v>
      </c>
      <c r="K3" s="1" t="str">
        <f>CONCATENATE("011010175870","")</f>
        <v>011010175870</v>
      </c>
      <c r="L3" s="1" t="s">
        <v>31</v>
      </c>
      <c r="M3" s="1">
        <v>303.39999999999998</v>
      </c>
      <c r="N3" s="1" t="s">
        <v>1268</v>
      </c>
      <c r="O3" s="1">
        <v>2017</v>
      </c>
      <c r="P3" s="1"/>
      <c r="Q3" t="s">
        <v>51</v>
      </c>
      <c r="R3" t="s">
        <v>35</v>
      </c>
      <c r="T3">
        <v>225</v>
      </c>
      <c r="U3" t="s">
        <v>36</v>
      </c>
      <c r="W3" t="s">
        <v>1251</v>
      </c>
    </row>
    <row r="4" spans="1:25" ht="25.05" customHeight="1" x14ac:dyDescent="0.3">
      <c r="A4" s="1">
        <v>61</v>
      </c>
      <c r="B4" s="1" t="s">
        <v>25</v>
      </c>
      <c r="C4" s="7" t="s">
        <v>364</v>
      </c>
      <c r="D4" s="1" t="s">
        <v>365</v>
      </c>
      <c r="E4" s="1" t="s">
        <v>366</v>
      </c>
      <c r="F4" s="1" t="s">
        <v>259</v>
      </c>
      <c r="G4" s="1">
        <v>2008</v>
      </c>
      <c r="H4" s="1" t="s">
        <v>367</v>
      </c>
      <c r="I4" s="4" t="s">
        <v>369</v>
      </c>
      <c r="J4" s="4" t="s">
        <v>30</v>
      </c>
      <c r="K4" s="1" t="str">
        <f>CONCATENATE("011010114092","")</f>
        <v>011010114092</v>
      </c>
      <c r="L4" s="1" t="s">
        <v>31</v>
      </c>
      <c r="M4" s="1">
        <v>411.3</v>
      </c>
      <c r="N4" s="1" t="s">
        <v>368</v>
      </c>
      <c r="O4" s="1">
        <v>2008</v>
      </c>
      <c r="P4" s="1"/>
      <c r="Q4" t="s">
        <v>51</v>
      </c>
      <c r="R4" t="s">
        <v>35</v>
      </c>
      <c r="T4">
        <v>420</v>
      </c>
      <c r="U4" t="s">
        <v>36</v>
      </c>
      <c r="W4" t="s">
        <v>370</v>
      </c>
    </row>
    <row r="5" spans="1:25" ht="25.05" customHeight="1" x14ac:dyDescent="0.3">
      <c r="A5" s="1">
        <v>73</v>
      </c>
      <c r="B5" s="1" t="s">
        <v>25</v>
      </c>
      <c r="C5" s="7" t="s">
        <v>419</v>
      </c>
      <c r="D5" s="1" t="s">
        <v>420</v>
      </c>
      <c r="E5" s="1" t="s">
        <v>421</v>
      </c>
      <c r="F5" s="1" t="s">
        <v>394</v>
      </c>
      <c r="G5" s="1">
        <v>2009</v>
      </c>
      <c r="H5" s="1" t="s">
        <v>422</v>
      </c>
      <c r="I5" s="4" t="s">
        <v>424</v>
      </c>
      <c r="J5" s="4" t="s">
        <v>30</v>
      </c>
      <c r="K5" s="1" t="str">
        <f>CONCATENATE("011010125758","")</f>
        <v>011010125758</v>
      </c>
      <c r="L5" s="1" t="s">
        <v>31</v>
      </c>
      <c r="M5" s="1">
        <v>411.3</v>
      </c>
      <c r="N5" s="1" t="s">
        <v>423</v>
      </c>
      <c r="O5" s="1">
        <v>2009</v>
      </c>
      <c r="P5" s="1"/>
      <c r="Q5" t="s">
        <v>51</v>
      </c>
      <c r="R5" t="s">
        <v>35</v>
      </c>
      <c r="T5">
        <v>185</v>
      </c>
      <c r="U5" t="s">
        <v>36</v>
      </c>
      <c r="W5" t="s">
        <v>378</v>
      </c>
    </row>
    <row r="6" spans="1:25" ht="25.05" customHeight="1" x14ac:dyDescent="0.3">
      <c r="A6" s="1">
        <v>205</v>
      </c>
      <c r="B6" s="1" t="s">
        <v>25</v>
      </c>
      <c r="C6" s="7" t="s">
        <v>1139</v>
      </c>
      <c r="D6" s="1" t="s">
        <v>1140</v>
      </c>
      <c r="E6" s="1" t="s">
        <v>659</v>
      </c>
      <c r="F6" s="1" t="s">
        <v>995</v>
      </c>
      <c r="G6" s="1">
        <v>2016</v>
      </c>
      <c r="H6" s="1" t="s">
        <v>1141</v>
      </c>
      <c r="I6" s="4" t="s">
        <v>1143</v>
      </c>
      <c r="J6" s="4" t="s">
        <v>30</v>
      </c>
      <c r="K6" s="1" t="str">
        <f>CONCATENATE("011010172627","")</f>
        <v>011010172627</v>
      </c>
      <c r="L6" s="1" t="s">
        <v>31</v>
      </c>
      <c r="M6" s="1">
        <v>411.3</v>
      </c>
      <c r="N6" s="1" t="s">
        <v>1142</v>
      </c>
      <c r="O6" s="1">
        <v>2016</v>
      </c>
      <c r="P6" s="1"/>
      <c r="Q6" t="s">
        <v>51</v>
      </c>
      <c r="R6" t="s">
        <v>35</v>
      </c>
      <c r="T6">
        <v>454</v>
      </c>
      <c r="U6" t="s">
        <v>36</v>
      </c>
      <c r="W6" t="s">
        <v>1111</v>
      </c>
    </row>
    <row r="7" spans="1:25" ht="25.05" customHeight="1" x14ac:dyDescent="0.3">
      <c r="A7" s="1">
        <v>141</v>
      </c>
      <c r="B7" s="1" t="s">
        <v>25</v>
      </c>
      <c r="C7" s="7" t="s">
        <v>792</v>
      </c>
      <c r="D7" s="1" t="s">
        <v>793</v>
      </c>
      <c r="E7" s="1" t="s">
        <v>794</v>
      </c>
      <c r="F7" s="1" t="s">
        <v>701</v>
      </c>
      <c r="G7" s="1">
        <v>2013</v>
      </c>
      <c r="H7" s="1" t="s">
        <v>795</v>
      </c>
      <c r="I7" s="4" t="s">
        <v>797</v>
      </c>
      <c r="J7" s="4" t="s">
        <v>30</v>
      </c>
      <c r="K7" s="1" t="str">
        <f>CONCATENATE("011010151182","")</f>
        <v>011010151182</v>
      </c>
      <c r="L7" s="1" t="s">
        <v>31</v>
      </c>
      <c r="M7" s="1">
        <v>411.3</v>
      </c>
      <c r="N7" s="1" t="s">
        <v>796</v>
      </c>
      <c r="O7" s="1">
        <v>2013</v>
      </c>
      <c r="P7" s="1"/>
      <c r="Q7" t="s">
        <v>51</v>
      </c>
      <c r="R7" t="s">
        <v>35</v>
      </c>
      <c r="T7">
        <v>204</v>
      </c>
      <c r="U7" t="s">
        <v>36</v>
      </c>
      <c r="W7" t="s">
        <v>785</v>
      </c>
    </row>
    <row r="8" spans="1:25" ht="25.05" customHeight="1" x14ac:dyDescent="0.3">
      <c r="A8" s="1">
        <v>248</v>
      </c>
      <c r="B8" s="1" t="s">
        <v>25</v>
      </c>
      <c r="C8" s="7" t="s">
        <v>1333</v>
      </c>
      <c r="D8" s="1" t="s">
        <v>1334</v>
      </c>
      <c r="E8" s="1" t="s">
        <v>1335</v>
      </c>
      <c r="F8" s="1">
        <v>2018</v>
      </c>
      <c r="G8" s="1">
        <v>2018</v>
      </c>
      <c r="H8" s="1" t="s">
        <v>1336</v>
      </c>
      <c r="I8" s="4" t="s">
        <v>1338</v>
      </c>
      <c r="J8" s="4" t="s">
        <v>30</v>
      </c>
      <c r="K8" s="1" t="str">
        <f>CONCATENATE("011010179135","")</f>
        <v>011010179135</v>
      </c>
      <c r="L8" s="1" t="s">
        <v>31</v>
      </c>
      <c r="M8" s="1">
        <v>411.3</v>
      </c>
      <c r="N8" s="1" t="s">
        <v>1337</v>
      </c>
      <c r="O8" s="1">
        <v>2018</v>
      </c>
      <c r="P8" s="1"/>
      <c r="Q8" t="s">
        <v>51</v>
      </c>
      <c r="R8" t="s">
        <v>35</v>
      </c>
      <c r="T8">
        <v>247</v>
      </c>
      <c r="U8" t="s">
        <v>36</v>
      </c>
      <c r="W8" t="s">
        <v>1339</v>
      </c>
    </row>
    <row r="9" spans="1:25" ht="25.05" customHeight="1" x14ac:dyDescent="0.3">
      <c r="A9" s="1">
        <v>125</v>
      </c>
      <c r="B9" s="1" t="s">
        <v>25</v>
      </c>
      <c r="C9" s="7" t="s">
        <v>693</v>
      </c>
      <c r="D9" s="1"/>
      <c r="E9" s="1" t="s">
        <v>694</v>
      </c>
      <c r="F9" s="1" t="s">
        <v>515</v>
      </c>
      <c r="G9" s="1">
        <v>2011</v>
      </c>
      <c r="H9" s="1" t="s">
        <v>695</v>
      </c>
      <c r="I9" s="4" t="s">
        <v>697</v>
      </c>
      <c r="J9" s="4" t="s">
        <v>30</v>
      </c>
      <c r="K9" s="1" t="str">
        <f>CONCATENATE("011010142008","")</f>
        <v>011010142008</v>
      </c>
      <c r="L9" s="1" t="s">
        <v>31</v>
      </c>
      <c r="M9" s="1">
        <v>411.3</v>
      </c>
      <c r="N9" s="1" t="s">
        <v>696</v>
      </c>
      <c r="O9" s="1">
        <v>2011</v>
      </c>
      <c r="P9" s="1"/>
      <c r="Q9" t="s">
        <v>51</v>
      </c>
      <c r="R9" t="s">
        <v>35</v>
      </c>
      <c r="S9" t="s">
        <v>362</v>
      </c>
      <c r="T9">
        <v>242</v>
      </c>
      <c r="U9" t="s">
        <v>36</v>
      </c>
      <c r="W9" t="s">
        <v>698</v>
      </c>
    </row>
    <row r="10" spans="1:25" ht="25.05" customHeight="1" x14ac:dyDescent="0.3">
      <c r="A10" s="1">
        <v>131</v>
      </c>
      <c r="B10" s="1" t="s">
        <v>25</v>
      </c>
      <c r="C10" s="7" t="s">
        <v>726</v>
      </c>
      <c r="D10" s="1" t="s">
        <v>727</v>
      </c>
      <c r="E10" s="1" t="s">
        <v>728</v>
      </c>
      <c r="F10" s="1">
        <v>2012</v>
      </c>
      <c r="G10" s="1">
        <v>2012</v>
      </c>
      <c r="H10" s="1" t="s">
        <v>729</v>
      </c>
      <c r="I10" s="4" t="s">
        <v>731</v>
      </c>
      <c r="J10" s="4" t="s">
        <v>30</v>
      </c>
      <c r="K10" s="1" t="str">
        <f>CONCATENATE("011010143706","")</f>
        <v>011010143706</v>
      </c>
      <c r="L10" s="1" t="s">
        <v>31</v>
      </c>
      <c r="M10" s="1">
        <v>411.3</v>
      </c>
      <c r="N10" s="1" t="s">
        <v>730</v>
      </c>
      <c r="O10" s="1">
        <v>2012</v>
      </c>
      <c r="P10" s="1"/>
      <c r="Q10" t="s">
        <v>51</v>
      </c>
      <c r="R10" t="s">
        <v>35</v>
      </c>
      <c r="T10">
        <v>491</v>
      </c>
      <c r="U10" t="s">
        <v>36</v>
      </c>
      <c r="W10" t="s">
        <v>732</v>
      </c>
    </row>
    <row r="11" spans="1:25" ht="25.05" customHeight="1" x14ac:dyDescent="0.3">
      <c r="A11" s="1">
        <v>149</v>
      </c>
      <c r="B11" s="1" t="s">
        <v>25</v>
      </c>
      <c r="C11" s="7" t="s">
        <v>838</v>
      </c>
      <c r="D11" s="1" t="s">
        <v>219</v>
      </c>
      <c r="E11" s="1" t="s">
        <v>609</v>
      </c>
      <c r="F11" s="1" t="s">
        <v>701</v>
      </c>
      <c r="G11" s="1">
        <v>2013</v>
      </c>
      <c r="H11" s="1" t="s">
        <v>839</v>
      </c>
      <c r="I11" s="4" t="s">
        <v>840</v>
      </c>
      <c r="J11" s="4" t="s">
        <v>30</v>
      </c>
      <c r="K11" s="1" t="str">
        <f>CONCATENATE("011010152392","")</f>
        <v>011010152392</v>
      </c>
      <c r="L11" s="1" t="s">
        <v>31</v>
      </c>
      <c r="M11" s="1">
        <v>411.3</v>
      </c>
      <c r="N11" s="1" t="s">
        <v>598</v>
      </c>
      <c r="O11" s="1">
        <v>2013</v>
      </c>
      <c r="P11" s="1"/>
      <c r="Q11" t="s">
        <v>51</v>
      </c>
      <c r="R11" t="s">
        <v>35</v>
      </c>
      <c r="T11">
        <v>304</v>
      </c>
      <c r="U11" t="s">
        <v>36</v>
      </c>
      <c r="W11" t="s">
        <v>841</v>
      </c>
    </row>
    <row r="12" spans="1:25" ht="25.05" customHeight="1" x14ac:dyDescent="0.3">
      <c r="A12" s="1">
        <v>48</v>
      </c>
      <c r="B12" s="1" t="s">
        <v>25</v>
      </c>
      <c r="C12" s="7" t="s">
        <v>304</v>
      </c>
      <c r="D12" s="1" t="s">
        <v>305</v>
      </c>
      <c r="E12" s="1" t="s">
        <v>306</v>
      </c>
      <c r="F12" s="1" t="s">
        <v>307</v>
      </c>
      <c r="G12" s="1">
        <v>2004</v>
      </c>
      <c r="H12" s="1" t="s">
        <v>308</v>
      </c>
      <c r="I12" s="4" t="s">
        <v>310</v>
      </c>
      <c r="J12" s="4" t="s">
        <v>30</v>
      </c>
      <c r="K12" s="1" t="str">
        <f>CONCATENATE("011010102470","")</f>
        <v>011010102470</v>
      </c>
      <c r="L12" s="1" t="s">
        <v>31</v>
      </c>
      <c r="M12" s="1">
        <v>411.9</v>
      </c>
      <c r="N12" s="1" t="s">
        <v>309</v>
      </c>
      <c r="O12" s="1"/>
      <c r="P12" s="1"/>
      <c r="Q12" t="s">
        <v>51</v>
      </c>
      <c r="R12" t="s">
        <v>35</v>
      </c>
      <c r="T12">
        <v>247</v>
      </c>
      <c r="U12" t="s">
        <v>36</v>
      </c>
      <c r="W12" t="s">
        <v>311</v>
      </c>
    </row>
    <row r="13" spans="1:25" ht="25.05" customHeight="1" x14ac:dyDescent="0.3">
      <c r="A13" s="1">
        <v>177</v>
      </c>
      <c r="B13" s="1" t="s">
        <v>25</v>
      </c>
      <c r="C13" s="7" t="s">
        <v>985</v>
      </c>
      <c r="D13" s="1" t="s">
        <v>986</v>
      </c>
      <c r="E13" s="1" t="s">
        <v>987</v>
      </c>
      <c r="F13" s="1" t="s">
        <v>884</v>
      </c>
      <c r="G13" s="1">
        <v>2015</v>
      </c>
      <c r="H13" s="1" t="s">
        <v>988</v>
      </c>
      <c r="I13" s="4" t="s">
        <v>990</v>
      </c>
      <c r="J13" s="4" t="s">
        <v>30</v>
      </c>
      <c r="K13" s="1" t="str">
        <f>CONCATENATE("011010164793","")</f>
        <v>011010164793</v>
      </c>
      <c r="L13" s="1" t="s">
        <v>31</v>
      </c>
      <c r="M13" s="1">
        <v>411.94</v>
      </c>
      <c r="N13" s="1" t="s">
        <v>989</v>
      </c>
      <c r="O13" s="1">
        <v>2015</v>
      </c>
      <c r="P13" s="1"/>
      <c r="Q13" t="s">
        <v>51</v>
      </c>
      <c r="R13" t="s">
        <v>35</v>
      </c>
      <c r="T13">
        <v>221</v>
      </c>
      <c r="U13" t="s">
        <v>36</v>
      </c>
      <c r="W13" t="s">
        <v>991</v>
      </c>
    </row>
    <row r="14" spans="1:25" ht="25.05" customHeight="1" x14ac:dyDescent="0.3">
      <c r="A14" s="1">
        <v>252</v>
      </c>
      <c r="B14" s="1" t="s">
        <v>25</v>
      </c>
      <c r="C14" s="7" t="s">
        <v>1358</v>
      </c>
      <c r="D14" s="1" t="s">
        <v>1359</v>
      </c>
      <c r="E14" s="1" t="s">
        <v>1360</v>
      </c>
      <c r="F14" s="1" t="s">
        <v>1361</v>
      </c>
      <c r="G14" s="1">
        <v>2019</v>
      </c>
      <c r="H14" s="1" t="s">
        <v>1362</v>
      </c>
      <c r="I14" s="4" t="s">
        <v>1364</v>
      </c>
      <c r="J14" s="4" t="s">
        <v>30</v>
      </c>
      <c r="K14" s="1" t="str">
        <f>CONCATENATE("011010179233","")</f>
        <v>011010179233</v>
      </c>
      <c r="L14" s="1" t="s">
        <v>31</v>
      </c>
      <c r="M14" s="1">
        <v>413.98</v>
      </c>
      <c r="N14" s="1" t="s">
        <v>1363</v>
      </c>
      <c r="O14" s="1">
        <v>2019</v>
      </c>
      <c r="P14" s="1"/>
      <c r="Q14" t="s">
        <v>274</v>
      </c>
      <c r="R14" t="s">
        <v>35</v>
      </c>
      <c r="T14">
        <v>352</v>
      </c>
      <c r="U14" t="s">
        <v>36</v>
      </c>
      <c r="W14" t="s">
        <v>1357</v>
      </c>
    </row>
    <row r="15" spans="1:25" ht="25.05" customHeight="1" x14ac:dyDescent="0.3">
      <c r="A15" s="1">
        <v>257</v>
      </c>
      <c r="B15" s="1" t="s">
        <v>25</v>
      </c>
      <c r="C15" s="7" t="s">
        <v>1385</v>
      </c>
      <c r="D15" s="1" t="s">
        <v>1386</v>
      </c>
      <c r="E15" s="1" t="s">
        <v>1387</v>
      </c>
      <c r="F15" s="1">
        <v>2019</v>
      </c>
      <c r="G15" s="1">
        <v>2019</v>
      </c>
      <c r="H15" s="1" t="s">
        <v>1388</v>
      </c>
      <c r="I15" s="4" t="s">
        <v>1390</v>
      </c>
      <c r="J15" s="4" t="s">
        <v>30</v>
      </c>
      <c r="K15" s="1" t="str">
        <f>CONCATENATE("011010179353","")</f>
        <v>011010179353</v>
      </c>
      <c r="L15" s="1" t="s">
        <v>31</v>
      </c>
      <c r="M15" s="1">
        <v>413.98</v>
      </c>
      <c r="N15" s="1" t="s">
        <v>1389</v>
      </c>
      <c r="O15" s="1">
        <v>2019</v>
      </c>
      <c r="P15" s="1"/>
      <c r="Q15" t="s">
        <v>274</v>
      </c>
      <c r="R15" t="s">
        <v>35</v>
      </c>
      <c r="T15">
        <v>296</v>
      </c>
      <c r="U15" t="s">
        <v>36</v>
      </c>
      <c r="W15" t="s">
        <v>1357</v>
      </c>
    </row>
    <row r="16" spans="1:25" ht="25.05" customHeight="1" x14ac:dyDescent="0.3">
      <c r="A16" s="1">
        <v>155</v>
      </c>
      <c r="B16" s="1" t="s">
        <v>25</v>
      </c>
      <c r="C16" s="7" t="s">
        <v>866</v>
      </c>
      <c r="D16" s="1" t="s">
        <v>867</v>
      </c>
      <c r="E16" s="1" t="s">
        <v>868</v>
      </c>
      <c r="F16" s="1" t="s">
        <v>869</v>
      </c>
      <c r="G16" s="1">
        <v>2015</v>
      </c>
      <c r="H16" s="1" t="s">
        <v>870</v>
      </c>
      <c r="I16" s="4" t="s">
        <v>872</v>
      </c>
      <c r="J16" s="4" t="s">
        <v>30</v>
      </c>
      <c r="K16" s="1" t="str">
        <f>CONCATENATE("011010156765","")</f>
        <v>011010156765</v>
      </c>
      <c r="L16" s="1" t="s">
        <v>31</v>
      </c>
      <c r="M16" s="1">
        <v>413.98</v>
      </c>
      <c r="N16" s="1" t="s">
        <v>871</v>
      </c>
      <c r="O16" s="1">
        <v>2015</v>
      </c>
      <c r="P16" s="1"/>
      <c r="Q16" t="s">
        <v>51</v>
      </c>
      <c r="R16" t="s">
        <v>35</v>
      </c>
      <c r="T16">
        <v>139</v>
      </c>
      <c r="U16" t="s">
        <v>36</v>
      </c>
      <c r="W16" t="s">
        <v>873</v>
      </c>
    </row>
    <row r="17" spans="1:23" ht="25.05" customHeight="1" x14ac:dyDescent="0.3">
      <c r="A17" s="1">
        <v>171</v>
      </c>
      <c r="B17" s="1" t="s">
        <v>25</v>
      </c>
      <c r="C17" s="7" t="s">
        <v>958</v>
      </c>
      <c r="D17" s="1"/>
      <c r="E17" s="1" t="s">
        <v>959</v>
      </c>
      <c r="F17" s="1">
        <v>2015.06</v>
      </c>
      <c r="G17" s="1">
        <v>2015</v>
      </c>
      <c r="H17" s="1" t="s">
        <v>960</v>
      </c>
      <c r="I17" s="4" t="s">
        <v>962</v>
      </c>
      <c r="J17" s="4" t="s">
        <v>30</v>
      </c>
      <c r="K17" s="1" t="str">
        <f>CONCATENATE("011010163116","")</f>
        <v>011010163116</v>
      </c>
      <c r="L17" s="1" t="s">
        <v>31</v>
      </c>
      <c r="M17" s="1">
        <v>413.98</v>
      </c>
      <c r="N17" s="1" t="s">
        <v>961</v>
      </c>
      <c r="O17" s="1">
        <v>2015</v>
      </c>
      <c r="P17" s="1"/>
      <c r="Q17" t="s">
        <v>51</v>
      </c>
      <c r="R17" t="s">
        <v>35</v>
      </c>
      <c r="T17">
        <v>263</v>
      </c>
      <c r="U17" t="s">
        <v>36</v>
      </c>
      <c r="W17" t="s">
        <v>963</v>
      </c>
    </row>
    <row r="18" spans="1:23" ht="25.05" customHeight="1" x14ac:dyDescent="0.3">
      <c r="A18" s="1">
        <v>3</v>
      </c>
      <c r="B18" s="1" t="s">
        <v>25</v>
      </c>
      <c r="C18" s="7" t="s">
        <v>2121</v>
      </c>
      <c r="D18" s="1" t="s">
        <v>2122</v>
      </c>
      <c r="E18" s="1" t="s">
        <v>2123</v>
      </c>
      <c r="F18" s="1" t="s">
        <v>394</v>
      </c>
      <c r="G18" s="1">
        <v>2009</v>
      </c>
      <c r="H18" s="1" t="s">
        <v>2124</v>
      </c>
      <c r="I18" s="4" t="s">
        <v>2126</v>
      </c>
      <c r="J18" s="4" t="s">
        <v>30</v>
      </c>
      <c r="K18" s="1" t="str">
        <f>CONCATENATE("011010126550","")</f>
        <v>011010126550</v>
      </c>
      <c r="L18" s="1" t="s">
        <v>31</v>
      </c>
      <c r="M18" s="1">
        <v>413.98</v>
      </c>
      <c r="N18" s="1" t="s">
        <v>2125</v>
      </c>
      <c r="O18" s="1">
        <v>2009</v>
      </c>
      <c r="P18" s="1"/>
      <c r="Q18" t="s">
        <v>51</v>
      </c>
      <c r="R18" t="s">
        <v>35</v>
      </c>
      <c r="T18">
        <v>207</v>
      </c>
      <c r="U18" t="s">
        <v>36</v>
      </c>
      <c r="W18" t="s">
        <v>378</v>
      </c>
    </row>
    <row r="19" spans="1:23" ht="25.05" customHeight="1" x14ac:dyDescent="0.3">
      <c r="A19" s="1">
        <v>1</v>
      </c>
      <c r="B19" s="1" t="s">
        <v>25</v>
      </c>
      <c r="C19" s="7" t="s">
        <v>2111</v>
      </c>
      <c r="D19" s="1" t="s">
        <v>2112</v>
      </c>
      <c r="E19" s="1" t="s">
        <v>251</v>
      </c>
      <c r="F19" s="1" t="s">
        <v>259</v>
      </c>
      <c r="G19" s="1">
        <v>2008</v>
      </c>
      <c r="H19" s="1" t="s">
        <v>2113</v>
      </c>
      <c r="I19" s="4" t="s">
        <v>2115</v>
      </c>
      <c r="J19" s="4" t="s">
        <v>30</v>
      </c>
      <c r="K19" s="1" t="str">
        <f>CONCATENATE("011010114126","")</f>
        <v>011010114126</v>
      </c>
      <c r="L19" s="1" t="s">
        <v>31</v>
      </c>
      <c r="M19" s="1">
        <v>413.98</v>
      </c>
      <c r="N19" s="1" t="s">
        <v>2114</v>
      </c>
      <c r="O19" s="1">
        <v>2008</v>
      </c>
      <c r="P19" s="1"/>
      <c r="Q19" t="s">
        <v>51</v>
      </c>
      <c r="R19" t="s">
        <v>35</v>
      </c>
      <c r="T19">
        <v>167</v>
      </c>
      <c r="U19" t="s">
        <v>36</v>
      </c>
      <c r="W19" t="s">
        <v>370</v>
      </c>
    </row>
    <row r="20" spans="1:23" ht="25.05" customHeight="1" x14ac:dyDescent="0.3">
      <c r="A20" s="1">
        <v>247</v>
      </c>
      <c r="B20" s="1" t="s">
        <v>25</v>
      </c>
      <c r="C20" s="7" t="s">
        <v>1326</v>
      </c>
      <c r="D20" s="1" t="s">
        <v>1327</v>
      </c>
      <c r="E20" s="1" t="s">
        <v>1328</v>
      </c>
      <c r="F20" s="1">
        <v>2018</v>
      </c>
      <c r="G20" s="1">
        <v>2018</v>
      </c>
      <c r="H20" s="1" t="s">
        <v>1329</v>
      </c>
      <c r="I20" s="4" t="s">
        <v>1331</v>
      </c>
      <c r="J20" s="4" t="s">
        <v>30</v>
      </c>
      <c r="K20" s="1" t="str">
        <f>CONCATENATE("011010179082","")</f>
        <v>011010179082</v>
      </c>
      <c r="L20" s="1" t="s">
        <v>31</v>
      </c>
      <c r="M20" s="1">
        <v>413.98</v>
      </c>
      <c r="N20" s="1" t="s">
        <v>1330</v>
      </c>
      <c r="O20" s="1">
        <v>2018</v>
      </c>
      <c r="P20" s="1"/>
      <c r="Q20" t="s">
        <v>51</v>
      </c>
      <c r="R20" t="s">
        <v>35</v>
      </c>
      <c r="T20">
        <v>227</v>
      </c>
      <c r="U20" t="s">
        <v>36</v>
      </c>
      <c r="W20" t="s">
        <v>1332</v>
      </c>
    </row>
    <row r="21" spans="1:23" ht="25.05" customHeight="1" x14ac:dyDescent="0.3">
      <c r="A21" s="1">
        <v>10</v>
      </c>
      <c r="B21" s="1" t="s">
        <v>25</v>
      </c>
      <c r="C21" s="7" t="s">
        <v>107</v>
      </c>
      <c r="D21" s="1" t="s">
        <v>108</v>
      </c>
      <c r="E21" s="1" t="s">
        <v>94</v>
      </c>
      <c r="F21" s="1" t="s">
        <v>109</v>
      </c>
      <c r="G21" s="1">
        <v>1998</v>
      </c>
      <c r="H21" s="1" t="s">
        <v>110</v>
      </c>
      <c r="I21" s="4" t="s">
        <v>112</v>
      </c>
      <c r="J21" s="4" t="s">
        <v>30</v>
      </c>
      <c r="K21" s="1" t="str">
        <f>CONCATENATE("011010060661","")</f>
        <v>011010060661</v>
      </c>
      <c r="L21" s="1" t="s">
        <v>31</v>
      </c>
      <c r="M21" s="1">
        <v>414.30259999999998</v>
      </c>
      <c r="N21" s="1" t="s">
        <v>111</v>
      </c>
      <c r="O21" s="1"/>
      <c r="P21" s="1"/>
      <c r="Q21" t="s">
        <v>113</v>
      </c>
      <c r="R21" t="s">
        <v>114</v>
      </c>
      <c r="T21">
        <v>180</v>
      </c>
      <c r="U21" t="s">
        <v>36</v>
      </c>
    </row>
    <row r="22" spans="1:23" ht="25.05" customHeight="1" x14ac:dyDescent="0.3">
      <c r="A22" s="1">
        <v>100</v>
      </c>
      <c r="B22" s="1" t="s">
        <v>25</v>
      </c>
      <c r="C22" s="7" t="s">
        <v>556</v>
      </c>
      <c r="D22" s="1" t="s">
        <v>557</v>
      </c>
      <c r="E22" s="1" t="s">
        <v>277</v>
      </c>
      <c r="F22" s="1">
        <v>2011</v>
      </c>
      <c r="G22" s="1">
        <v>2011</v>
      </c>
      <c r="H22" s="1" t="s">
        <v>558</v>
      </c>
      <c r="I22" s="4" t="s">
        <v>560</v>
      </c>
      <c r="J22" s="4" t="s">
        <v>30</v>
      </c>
      <c r="K22" s="1" t="str">
        <f>CONCATENATE("011010135662","")</f>
        <v>011010135662</v>
      </c>
      <c r="L22" s="1" t="s">
        <v>31</v>
      </c>
      <c r="M22" s="1">
        <v>418.91</v>
      </c>
      <c r="N22" s="1" t="s">
        <v>559</v>
      </c>
      <c r="O22" s="1">
        <v>2011</v>
      </c>
      <c r="P22" s="1"/>
      <c r="Q22" t="s">
        <v>51</v>
      </c>
      <c r="R22" t="s">
        <v>35</v>
      </c>
      <c r="S22" t="s">
        <v>561</v>
      </c>
      <c r="T22">
        <v>175</v>
      </c>
      <c r="U22" t="s">
        <v>36</v>
      </c>
      <c r="W22" t="s">
        <v>551</v>
      </c>
    </row>
    <row r="23" spans="1:23" ht="25.05" customHeight="1" x14ac:dyDescent="0.3">
      <c r="A23" s="1">
        <v>107</v>
      </c>
      <c r="B23" s="1" t="s">
        <v>25</v>
      </c>
      <c r="C23" s="7" t="s">
        <v>593</v>
      </c>
      <c r="D23" s="1" t="s">
        <v>594</v>
      </c>
      <c r="E23" s="1" t="s">
        <v>595</v>
      </c>
      <c r="F23" s="1" t="s">
        <v>596</v>
      </c>
      <c r="G23" s="1">
        <v>1990</v>
      </c>
      <c r="H23" s="1" t="s">
        <v>597</v>
      </c>
      <c r="I23" s="4" t="s">
        <v>599</v>
      </c>
      <c r="J23" s="4" t="s">
        <v>30</v>
      </c>
      <c r="K23" s="1" t="str">
        <f>CONCATENATE("011010137778","")</f>
        <v>011010137778</v>
      </c>
      <c r="L23" s="1" t="s">
        <v>31</v>
      </c>
      <c r="M23" s="1">
        <v>418.91</v>
      </c>
      <c r="N23" s="1" t="s">
        <v>598</v>
      </c>
      <c r="O23" s="1">
        <v>1990</v>
      </c>
      <c r="P23" s="1"/>
      <c r="Q23" t="s">
        <v>51</v>
      </c>
      <c r="R23" t="s">
        <v>35</v>
      </c>
      <c r="T23">
        <v>90</v>
      </c>
      <c r="U23" t="s">
        <v>36</v>
      </c>
      <c r="W23" t="s">
        <v>600</v>
      </c>
    </row>
    <row r="24" spans="1:23" ht="25.05" customHeight="1" x14ac:dyDescent="0.3">
      <c r="A24" s="1">
        <v>243</v>
      </c>
      <c r="B24" s="1" t="s">
        <v>25</v>
      </c>
      <c r="C24" s="7" t="s">
        <v>1303</v>
      </c>
      <c r="D24" s="1">
        <v>943</v>
      </c>
      <c r="E24" s="1" t="s">
        <v>677</v>
      </c>
      <c r="F24" s="1">
        <v>2010</v>
      </c>
      <c r="G24" s="1">
        <v>2010</v>
      </c>
      <c r="H24" s="1" t="s">
        <v>1304</v>
      </c>
      <c r="I24" s="4" t="s">
        <v>1306</v>
      </c>
      <c r="J24" s="4" t="s">
        <v>30</v>
      </c>
      <c r="K24" s="1" t="str">
        <f>CONCATENATE("011010176700","")</f>
        <v>011010176700</v>
      </c>
      <c r="L24" s="1" t="s">
        <v>31</v>
      </c>
      <c r="M24" s="1">
        <v>421.1</v>
      </c>
      <c r="N24" s="1" t="s">
        <v>1305</v>
      </c>
      <c r="O24" s="1">
        <v>2010</v>
      </c>
      <c r="P24" s="1"/>
      <c r="Q24" t="s">
        <v>51</v>
      </c>
      <c r="R24" t="s">
        <v>35</v>
      </c>
      <c r="T24">
        <v>188</v>
      </c>
      <c r="U24" t="s">
        <v>36</v>
      </c>
      <c r="W24" t="s">
        <v>1307</v>
      </c>
    </row>
    <row r="25" spans="1:23" ht="25.05" customHeight="1" x14ac:dyDescent="0.3">
      <c r="A25" s="1">
        <v>231</v>
      </c>
      <c r="B25" s="1" t="s">
        <v>25</v>
      </c>
      <c r="C25" s="7" t="s">
        <v>1236</v>
      </c>
      <c r="D25" s="1" t="s">
        <v>1237</v>
      </c>
      <c r="E25" s="1" t="s">
        <v>1238</v>
      </c>
      <c r="F25" s="1" t="s">
        <v>1135</v>
      </c>
      <c r="G25" s="1">
        <v>2017</v>
      </c>
      <c r="H25" s="1" t="s">
        <v>1239</v>
      </c>
      <c r="I25" s="4" t="s">
        <v>1241</v>
      </c>
      <c r="J25" s="4" t="s">
        <v>30</v>
      </c>
      <c r="K25" s="1" t="str">
        <f>CONCATENATE("011010175483","")</f>
        <v>011010175483</v>
      </c>
      <c r="L25" s="1" t="s">
        <v>31</v>
      </c>
      <c r="M25" s="1">
        <v>425</v>
      </c>
      <c r="N25" s="1" t="s">
        <v>1240</v>
      </c>
      <c r="O25" s="1">
        <v>2017</v>
      </c>
      <c r="P25" s="1"/>
      <c r="Q25" t="s">
        <v>51</v>
      </c>
      <c r="R25" t="s">
        <v>35</v>
      </c>
      <c r="T25">
        <v>255</v>
      </c>
      <c r="U25" t="s">
        <v>36</v>
      </c>
      <c r="W25" t="s">
        <v>1223</v>
      </c>
    </row>
    <row r="26" spans="1:23" ht="25.05" customHeight="1" x14ac:dyDescent="0.3">
      <c r="A26" s="1">
        <v>83</v>
      </c>
      <c r="B26" s="1" t="s">
        <v>25</v>
      </c>
      <c r="C26" s="7" t="s">
        <v>460</v>
      </c>
      <c r="D26" s="1" t="s">
        <v>461</v>
      </c>
      <c r="E26" s="1" t="s">
        <v>443</v>
      </c>
      <c r="F26" s="1">
        <v>2011</v>
      </c>
      <c r="G26" s="1">
        <v>2010</v>
      </c>
      <c r="H26" s="1" t="s">
        <v>462</v>
      </c>
      <c r="I26" s="4" t="s">
        <v>464</v>
      </c>
      <c r="J26" s="4" t="s">
        <v>30</v>
      </c>
      <c r="K26" s="1" t="str">
        <f>CONCATENATE("011010127943","")</f>
        <v>011010127943</v>
      </c>
      <c r="L26" s="1" t="s">
        <v>31</v>
      </c>
      <c r="M26" s="1">
        <v>427</v>
      </c>
      <c r="N26" s="1" t="s">
        <v>463</v>
      </c>
      <c r="O26" s="1">
        <v>2011</v>
      </c>
      <c r="P26" s="1"/>
      <c r="Q26" t="s">
        <v>51</v>
      </c>
      <c r="R26" t="s">
        <v>35</v>
      </c>
      <c r="T26">
        <v>200</v>
      </c>
      <c r="U26" t="s">
        <v>36</v>
      </c>
      <c r="W26" t="s">
        <v>465</v>
      </c>
    </row>
    <row r="27" spans="1:23" ht="25.05" customHeight="1" x14ac:dyDescent="0.3">
      <c r="A27" s="1">
        <v>96</v>
      </c>
      <c r="B27" s="1" t="s">
        <v>25</v>
      </c>
      <c r="C27" s="7" t="s">
        <v>536</v>
      </c>
      <c r="D27" s="1" t="s">
        <v>537</v>
      </c>
      <c r="E27" s="1" t="s">
        <v>414</v>
      </c>
      <c r="F27" s="1" t="s">
        <v>515</v>
      </c>
      <c r="G27" s="1">
        <v>2011</v>
      </c>
      <c r="H27" s="1" t="s">
        <v>538</v>
      </c>
      <c r="I27" s="4" t="s">
        <v>540</v>
      </c>
      <c r="J27" s="4" t="s">
        <v>30</v>
      </c>
      <c r="K27" s="1" t="str">
        <f>CONCATENATE("011010134401","")</f>
        <v>011010134401</v>
      </c>
      <c r="L27" s="1" t="s">
        <v>31</v>
      </c>
      <c r="M27" s="1">
        <v>427</v>
      </c>
      <c r="N27" s="1" t="s">
        <v>539</v>
      </c>
      <c r="O27" s="1">
        <v>2011</v>
      </c>
      <c r="P27" s="1"/>
      <c r="Q27" t="s">
        <v>51</v>
      </c>
      <c r="R27" t="s">
        <v>35</v>
      </c>
      <c r="T27">
        <v>291</v>
      </c>
      <c r="U27" t="s">
        <v>36</v>
      </c>
      <c r="W27" t="s">
        <v>523</v>
      </c>
    </row>
    <row r="28" spans="1:23" ht="25.05" customHeight="1" x14ac:dyDescent="0.3">
      <c r="A28" s="1">
        <v>3</v>
      </c>
      <c r="B28" s="1" t="s">
        <v>25</v>
      </c>
      <c r="C28" s="7" t="s">
        <v>59</v>
      </c>
      <c r="D28" s="1" t="s">
        <v>60</v>
      </c>
      <c r="E28" s="1" t="s">
        <v>61</v>
      </c>
      <c r="F28" s="1" t="s">
        <v>62</v>
      </c>
      <c r="G28" s="1">
        <v>2005</v>
      </c>
      <c r="H28" s="1" t="s">
        <v>63</v>
      </c>
      <c r="I28" s="4" t="s">
        <v>65</v>
      </c>
      <c r="J28" s="4" t="s">
        <v>30</v>
      </c>
      <c r="K28" s="1" t="str">
        <f>CONCATENATE("011010047584","")</f>
        <v>011010047584</v>
      </c>
      <c r="L28" s="1" t="s">
        <v>31</v>
      </c>
      <c r="M28" s="1">
        <v>427</v>
      </c>
      <c r="N28" s="1" t="s">
        <v>64</v>
      </c>
      <c r="O28" s="1">
        <v>2005</v>
      </c>
      <c r="P28" s="1"/>
      <c r="Q28" t="s">
        <v>51</v>
      </c>
      <c r="R28" t="s">
        <v>35</v>
      </c>
      <c r="T28">
        <v>257</v>
      </c>
      <c r="U28" t="s">
        <v>36</v>
      </c>
      <c r="W28" t="s">
        <v>66</v>
      </c>
    </row>
    <row r="29" spans="1:23" ht="25.05" customHeight="1" x14ac:dyDescent="0.3">
      <c r="A29" s="1">
        <v>123</v>
      </c>
      <c r="B29" s="1" t="s">
        <v>25</v>
      </c>
      <c r="C29" s="7" t="s">
        <v>682</v>
      </c>
      <c r="D29" s="1" t="s">
        <v>683</v>
      </c>
      <c r="E29" s="1" t="s">
        <v>652</v>
      </c>
      <c r="F29" s="1">
        <v>2013</v>
      </c>
      <c r="G29" s="1">
        <v>2013</v>
      </c>
      <c r="H29" s="1" t="s">
        <v>684</v>
      </c>
      <c r="I29" s="4" t="s">
        <v>686</v>
      </c>
      <c r="J29" s="4" t="s">
        <v>30</v>
      </c>
      <c r="K29" s="1" t="str">
        <f>CONCATENATE("011010141570","")</f>
        <v>011010141570</v>
      </c>
      <c r="L29" s="1" t="s">
        <v>31</v>
      </c>
      <c r="M29" s="1">
        <v>427</v>
      </c>
      <c r="N29" s="1" t="s">
        <v>685</v>
      </c>
      <c r="O29" s="1">
        <v>2013</v>
      </c>
      <c r="P29" s="1"/>
      <c r="Q29" t="s">
        <v>51</v>
      </c>
      <c r="R29" t="s">
        <v>35</v>
      </c>
      <c r="T29">
        <v>196</v>
      </c>
      <c r="U29" t="s">
        <v>36</v>
      </c>
      <c r="W29" t="s">
        <v>687</v>
      </c>
    </row>
    <row r="30" spans="1:23" ht="25.05" customHeight="1" x14ac:dyDescent="0.3">
      <c r="A30" s="1">
        <v>165</v>
      </c>
      <c r="B30" s="1" t="s">
        <v>25</v>
      </c>
      <c r="C30" s="7" t="s">
        <v>925</v>
      </c>
      <c r="D30" s="1" t="s">
        <v>926</v>
      </c>
      <c r="E30" s="1" t="s">
        <v>652</v>
      </c>
      <c r="F30" s="1">
        <v>2015</v>
      </c>
      <c r="G30" s="1">
        <v>2015</v>
      </c>
      <c r="H30" s="1" t="s">
        <v>927</v>
      </c>
      <c r="I30" s="4" t="s">
        <v>929</v>
      </c>
      <c r="J30" s="4" t="s">
        <v>30</v>
      </c>
      <c r="K30" s="1" t="str">
        <f>CONCATENATE("011010162459","")</f>
        <v>011010162459</v>
      </c>
      <c r="L30" s="1" t="s">
        <v>31</v>
      </c>
      <c r="M30" s="1">
        <v>427</v>
      </c>
      <c r="N30" s="1" t="s">
        <v>928</v>
      </c>
      <c r="O30" s="1">
        <v>2015</v>
      </c>
      <c r="P30" s="1"/>
      <c r="Q30" t="s">
        <v>51</v>
      </c>
      <c r="R30" t="s">
        <v>35</v>
      </c>
      <c r="T30">
        <v>992</v>
      </c>
      <c r="U30" t="s">
        <v>36</v>
      </c>
      <c r="W30" t="s">
        <v>909</v>
      </c>
    </row>
    <row r="31" spans="1:23" ht="25.05" customHeight="1" x14ac:dyDescent="0.3">
      <c r="A31" s="1">
        <v>159</v>
      </c>
      <c r="B31" s="1" t="s">
        <v>25</v>
      </c>
      <c r="C31" s="7" t="s">
        <v>893</v>
      </c>
      <c r="D31" s="1" t="s">
        <v>894</v>
      </c>
      <c r="E31" s="1" t="s">
        <v>373</v>
      </c>
      <c r="F31" s="1" t="s">
        <v>884</v>
      </c>
      <c r="G31" s="1">
        <v>2015</v>
      </c>
      <c r="H31" s="1" t="s">
        <v>895</v>
      </c>
      <c r="I31" s="4" t="s">
        <v>896</v>
      </c>
      <c r="J31" s="4" t="s">
        <v>30</v>
      </c>
      <c r="K31" s="1" t="str">
        <f>CONCATENATE("011010161104","")</f>
        <v>011010161104</v>
      </c>
      <c r="L31" s="1" t="s">
        <v>31</v>
      </c>
      <c r="M31" s="1">
        <v>427</v>
      </c>
      <c r="N31" s="1" t="s">
        <v>764</v>
      </c>
      <c r="O31" s="1">
        <v>2015</v>
      </c>
      <c r="P31" s="1"/>
      <c r="Q31" t="s">
        <v>51</v>
      </c>
      <c r="R31" t="s">
        <v>35</v>
      </c>
      <c r="T31">
        <v>293</v>
      </c>
      <c r="U31" t="s">
        <v>36</v>
      </c>
      <c r="W31" t="s">
        <v>897</v>
      </c>
    </row>
    <row r="32" spans="1:23" ht="25.05" customHeight="1" x14ac:dyDescent="0.3">
      <c r="A32" s="1">
        <v>52</v>
      </c>
      <c r="B32" s="1" t="s">
        <v>25</v>
      </c>
      <c r="C32" s="7" t="s">
        <v>325</v>
      </c>
      <c r="D32" s="1" t="s">
        <v>326</v>
      </c>
      <c r="E32" s="1" t="s">
        <v>69</v>
      </c>
      <c r="F32" s="1" t="s">
        <v>307</v>
      </c>
      <c r="G32" s="1">
        <v>2004</v>
      </c>
      <c r="H32" s="1" t="s">
        <v>327</v>
      </c>
      <c r="I32" s="4" t="s">
        <v>329</v>
      </c>
      <c r="J32" s="4" t="s">
        <v>30</v>
      </c>
      <c r="K32" s="1" t="str">
        <f>CONCATENATE("011010106406","")</f>
        <v>011010106406</v>
      </c>
      <c r="L32" s="1" t="s">
        <v>31</v>
      </c>
      <c r="M32" s="1">
        <v>427</v>
      </c>
      <c r="N32" s="1" t="s">
        <v>328</v>
      </c>
      <c r="O32" s="1"/>
      <c r="P32" s="1"/>
      <c r="Q32" t="s">
        <v>51</v>
      </c>
      <c r="R32" t="s">
        <v>35</v>
      </c>
      <c r="T32">
        <v>202</v>
      </c>
      <c r="U32" t="s">
        <v>36</v>
      </c>
      <c r="W32" t="s">
        <v>324</v>
      </c>
    </row>
    <row r="33" spans="1:23" ht="25.05" customHeight="1" x14ac:dyDescent="0.3">
      <c r="A33" s="1">
        <v>119</v>
      </c>
      <c r="B33" s="1" t="s">
        <v>25</v>
      </c>
      <c r="C33" s="7" t="s">
        <v>663</v>
      </c>
      <c r="D33" s="1" t="s">
        <v>664</v>
      </c>
      <c r="E33" s="1" t="s">
        <v>414</v>
      </c>
      <c r="F33" s="1">
        <v>2012</v>
      </c>
      <c r="G33" s="1">
        <v>2012</v>
      </c>
      <c r="H33" s="1" t="s">
        <v>665</v>
      </c>
      <c r="I33" s="4" t="s">
        <v>667</v>
      </c>
      <c r="J33" s="4" t="s">
        <v>30</v>
      </c>
      <c r="K33" s="1" t="str">
        <f>CONCATENATE("011010141133","")</f>
        <v>011010141133</v>
      </c>
      <c r="L33" s="1" t="s">
        <v>31</v>
      </c>
      <c r="M33" s="1">
        <v>427</v>
      </c>
      <c r="N33" s="1" t="s">
        <v>666</v>
      </c>
      <c r="O33" s="1">
        <v>2012</v>
      </c>
      <c r="P33" s="1" t="s">
        <v>360</v>
      </c>
      <c r="Q33" t="s">
        <v>51</v>
      </c>
      <c r="R33" t="s">
        <v>35</v>
      </c>
      <c r="T33">
        <v>231</v>
      </c>
      <c r="U33" t="s">
        <v>36</v>
      </c>
      <c r="W33" t="s">
        <v>656</v>
      </c>
    </row>
    <row r="34" spans="1:23" ht="25.05" customHeight="1" x14ac:dyDescent="0.3">
      <c r="A34" s="1">
        <v>124</v>
      </c>
      <c r="B34" s="1" t="s">
        <v>25</v>
      </c>
      <c r="C34" s="7" t="s">
        <v>688</v>
      </c>
      <c r="D34" s="1" t="s">
        <v>689</v>
      </c>
      <c r="E34" s="1" t="s">
        <v>414</v>
      </c>
      <c r="F34" s="1">
        <v>2013</v>
      </c>
      <c r="G34" s="1">
        <v>2013</v>
      </c>
      <c r="H34" s="1" t="s">
        <v>690</v>
      </c>
      <c r="I34" s="4" t="s">
        <v>692</v>
      </c>
      <c r="J34" s="4" t="s">
        <v>30</v>
      </c>
      <c r="K34" s="1" t="str">
        <f>CONCATENATE("011010141600","")</f>
        <v>011010141600</v>
      </c>
      <c r="L34" s="1" t="s">
        <v>31</v>
      </c>
      <c r="M34" s="1">
        <v>427</v>
      </c>
      <c r="N34" s="1" t="s">
        <v>691</v>
      </c>
      <c r="O34" s="1">
        <v>2013</v>
      </c>
      <c r="P34" s="1"/>
      <c r="Q34" t="s">
        <v>51</v>
      </c>
      <c r="R34" t="s">
        <v>35</v>
      </c>
      <c r="T34">
        <v>312</v>
      </c>
      <c r="U34" t="s">
        <v>36</v>
      </c>
      <c r="W34" t="s">
        <v>687</v>
      </c>
    </row>
    <row r="35" spans="1:23" ht="25.05" customHeight="1" x14ac:dyDescent="0.3">
      <c r="A35" s="1">
        <v>24</v>
      </c>
      <c r="B35" s="1" t="s">
        <v>25</v>
      </c>
      <c r="C35" s="7" t="s">
        <v>183</v>
      </c>
      <c r="D35" s="1" t="s">
        <v>184</v>
      </c>
      <c r="E35" s="1" t="s">
        <v>185</v>
      </c>
      <c r="F35" s="1" t="s">
        <v>186</v>
      </c>
      <c r="G35" s="1">
        <v>1969</v>
      </c>
      <c r="H35" s="1"/>
      <c r="I35" s="4" t="s">
        <v>188</v>
      </c>
      <c r="J35" s="4" t="s">
        <v>30</v>
      </c>
      <c r="K35" s="1" t="str">
        <f>CONCATENATE("011010077825","")</f>
        <v>011010077825</v>
      </c>
      <c r="L35" s="1" t="s">
        <v>31</v>
      </c>
      <c r="M35" s="1">
        <v>427</v>
      </c>
      <c r="N35" s="1" t="s">
        <v>187</v>
      </c>
      <c r="O35" s="1"/>
      <c r="P35" s="1"/>
      <c r="Q35" t="s">
        <v>51</v>
      </c>
      <c r="R35" t="s">
        <v>35</v>
      </c>
      <c r="T35">
        <v>0</v>
      </c>
      <c r="U35" t="s">
        <v>36</v>
      </c>
      <c r="W35" t="s">
        <v>189</v>
      </c>
    </row>
    <row r="36" spans="1:23" ht="25.05" customHeight="1" x14ac:dyDescent="0.3">
      <c r="A36" s="1">
        <v>250</v>
      </c>
      <c r="B36" s="1" t="s">
        <v>25</v>
      </c>
      <c r="C36" s="7" t="s">
        <v>1347</v>
      </c>
      <c r="D36" s="1" t="s">
        <v>1348</v>
      </c>
      <c r="E36" s="1" t="s">
        <v>28</v>
      </c>
      <c r="F36" s="1">
        <v>2018</v>
      </c>
      <c r="G36" s="1">
        <v>2018</v>
      </c>
      <c r="H36" s="1" t="s">
        <v>1349</v>
      </c>
      <c r="I36" s="4" t="s">
        <v>1351</v>
      </c>
      <c r="J36" s="4" t="s">
        <v>30</v>
      </c>
      <c r="K36" s="1" t="str">
        <f>CONCATENATE("011010179214","")</f>
        <v>011010179214</v>
      </c>
      <c r="L36" s="1" t="s">
        <v>31</v>
      </c>
      <c r="M36" s="1">
        <v>427</v>
      </c>
      <c r="N36" s="1" t="s">
        <v>1350</v>
      </c>
      <c r="O36" s="1">
        <v>2018</v>
      </c>
      <c r="P36" s="1"/>
      <c r="Q36" t="s">
        <v>51</v>
      </c>
      <c r="R36" t="s">
        <v>35</v>
      </c>
      <c r="T36">
        <v>1280</v>
      </c>
      <c r="U36" t="s">
        <v>36</v>
      </c>
      <c r="W36" t="s">
        <v>1346</v>
      </c>
    </row>
    <row r="37" spans="1:23" ht="25.05" customHeight="1" x14ac:dyDescent="0.3">
      <c r="A37" s="1">
        <v>132</v>
      </c>
      <c r="B37" s="1" t="s">
        <v>25</v>
      </c>
      <c r="C37" s="7" t="s">
        <v>733</v>
      </c>
      <c r="D37" s="1" t="s">
        <v>734</v>
      </c>
      <c r="E37" s="1" t="s">
        <v>735</v>
      </c>
      <c r="F37" s="1" t="s">
        <v>701</v>
      </c>
      <c r="G37" s="1">
        <v>2013</v>
      </c>
      <c r="H37" s="1" t="s">
        <v>736</v>
      </c>
      <c r="I37" s="4" t="s">
        <v>738</v>
      </c>
      <c r="J37" s="4" t="s">
        <v>30</v>
      </c>
      <c r="K37" s="1" t="str">
        <f>CONCATENATE("011010143951","")</f>
        <v>011010143951</v>
      </c>
      <c r="L37" s="1" t="s">
        <v>31</v>
      </c>
      <c r="M37" s="1">
        <v>427.07</v>
      </c>
      <c r="N37" s="1" t="s">
        <v>737</v>
      </c>
      <c r="O37" s="1">
        <v>2013</v>
      </c>
      <c r="P37" s="1"/>
      <c r="Q37" t="s">
        <v>51</v>
      </c>
      <c r="R37" t="s">
        <v>35</v>
      </c>
      <c r="T37">
        <v>270</v>
      </c>
      <c r="U37" t="s">
        <v>36</v>
      </c>
      <c r="W37" t="s">
        <v>739</v>
      </c>
    </row>
    <row r="38" spans="1:23" ht="25.05" customHeight="1" x14ac:dyDescent="0.3">
      <c r="A38" s="1">
        <v>188</v>
      </c>
      <c r="B38" s="1" t="s">
        <v>25</v>
      </c>
      <c r="C38" s="7" t="s">
        <v>1046</v>
      </c>
      <c r="D38" s="1" t="s">
        <v>1047</v>
      </c>
      <c r="E38" s="1" t="s">
        <v>373</v>
      </c>
      <c r="F38" s="1" t="s">
        <v>715</v>
      </c>
      <c r="G38" s="1">
        <v>2014</v>
      </c>
      <c r="H38" s="1" t="s">
        <v>1048</v>
      </c>
      <c r="I38" s="4" t="s">
        <v>1050</v>
      </c>
      <c r="J38" s="4" t="s">
        <v>30</v>
      </c>
      <c r="K38" s="1" t="str">
        <f>CONCATENATE("011010165167","")</f>
        <v>011010165167</v>
      </c>
      <c r="L38" s="1" t="s">
        <v>31</v>
      </c>
      <c r="M38" s="1">
        <v>427.07</v>
      </c>
      <c r="N38" s="1" t="s">
        <v>1049</v>
      </c>
      <c r="O38" s="1">
        <v>2014</v>
      </c>
      <c r="P38" s="1"/>
      <c r="Q38" t="s">
        <v>51</v>
      </c>
      <c r="R38" t="s">
        <v>35</v>
      </c>
      <c r="T38">
        <v>262</v>
      </c>
      <c r="U38" t="s">
        <v>36</v>
      </c>
      <c r="W38" t="s">
        <v>991</v>
      </c>
    </row>
    <row r="39" spans="1:23" ht="25.05" customHeight="1" x14ac:dyDescent="0.3">
      <c r="A39" s="1">
        <v>202</v>
      </c>
      <c r="B39" s="1" t="s">
        <v>25</v>
      </c>
      <c r="C39" s="7" t="s">
        <v>1124</v>
      </c>
      <c r="D39" s="1" t="s">
        <v>1119</v>
      </c>
      <c r="E39" s="1" t="s">
        <v>949</v>
      </c>
      <c r="F39" s="1" t="s">
        <v>995</v>
      </c>
      <c r="G39" s="1">
        <v>2016</v>
      </c>
      <c r="H39" s="1" t="s">
        <v>1125</v>
      </c>
      <c r="I39" s="4" t="s">
        <v>1126</v>
      </c>
      <c r="J39" s="4" t="s">
        <v>30</v>
      </c>
      <c r="K39" s="1" t="str">
        <f>CONCATENATE("011010168535","")</f>
        <v>011010168535</v>
      </c>
      <c r="L39" s="1" t="s">
        <v>31</v>
      </c>
      <c r="M39" s="1">
        <v>427.07</v>
      </c>
      <c r="N39" s="1" t="s">
        <v>1122</v>
      </c>
      <c r="O39" s="1">
        <v>2016</v>
      </c>
      <c r="P39" s="1"/>
      <c r="Q39" t="s">
        <v>51</v>
      </c>
      <c r="R39" t="s">
        <v>35</v>
      </c>
      <c r="T39">
        <v>228</v>
      </c>
      <c r="U39" t="s">
        <v>36</v>
      </c>
      <c r="W39" t="s">
        <v>1081</v>
      </c>
    </row>
    <row r="40" spans="1:23" ht="25.05" customHeight="1" x14ac:dyDescent="0.3">
      <c r="A40" s="1">
        <v>207</v>
      </c>
      <c r="B40" s="1" t="s">
        <v>25</v>
      </c>
      <c r="C40" s="7" t="s">
        <v>1150</v>
      </c>
      <c r="D40" s="1" t="s">
        <v>1151</v>
      </c>
      <c r="E40" s="1" t="s">
        <v>1152</v>
      </c>
      <c r="F40" s="1" t="s">
        <v>1135</v>
      </c>
      <c r="G40" s="1">
        <v>2017</v>
      </c>
      <c r="H40" s="1" t="s">
        <v>1153</v>
      </c>
      <c r="I40" s="4" t="s">
        <v>1155</v>
      </c>
      <c r="J40" s="4" t="s">
        <v>30</v>
      </c>
      <c r="K40" s="1" t="str">
        <f>CONCATENATE("011010173166","")</f>
        <v>011010173166</v>
      </c>
      <c r="L40" s="1" t="s">
        <v>31</v>
      </c>
      <c r="M40" s="1">
        <v>427.07</v>
      </c>
      <c r="N40" s="1" t="s">
        <v>1154</v>
      </c>
      <c r="O40" s="1">
        <v>2017</v>
      </c>
      <c r="P40" s="1"/>
      <c r="Q40" t="s">
        <v>51</v>
      </c>
      <c r="R40" t="s">
        <v>35</v>
      </c>
      <c r="T40">
        <v>234</v>
      </c>
      <c r="U40" t="s">
        <v>36</v>
      </c>
      <c r="W40" t="s">
        <v>1149</v>
      </c>
    </row>
    <row r="41" spans="1:23" ht="25.05" customHeight="1" x14ac:dyDescent="0.3">
      <c r="A41" s="1">
        <v>222</v>
      </c>
      <c r="B41" s="1" t="s">
        <v>25</v>
      </c>
      <c r="C41" s="7" t="s">
        <v>1188</v>
      </c>
      <c r="D41" s="1" t="s">
        <v>1189</v>
      </c>
      <c r="E41" s="1" t="s">
        <v>1190</v>
      </c>
      <c r="F41" s="1" t="s">
        <v>1135</v>
      </c>
      <c r="G41" s="1">
        <v>2017</v>
      </c>
      <c r="H41" s="1" t="s">
        <v>1191</v>
      </c>
      <c r="I41" s="4" t="s">
        <v>1192</v>
      </c>
      <c r="J41" s="4" t="s">
        <v>30</v>
      </c>
      <c r="K41" s="1" t="str">
        <f>CONCATENATE("011010174040","")</f>
        <v>011010174040</v>
      </c>
      <c r="L41" s="1" t="s">
        <v>31</v>
      </c>
      <c r="M41" s="1">
        <v>427.07</v>
      </c>
      <c r="N41" s="1" t="s">
        <v>89</v>
      </c>
      <c r="O41" s="1">
        <v>2017</v>
      </c>
      <c r="P41" s="1"/>
      <c r="Q41" t="s">
        <v>51</v>
      </c>
      <c r="R41" t="s">
        <v>35</v>
      </c>
      <c r="T41">
        <v>280</v>
      </c>
      <c r="U41" t="s">
        <v>36</v>
      </c>
      <c r="W41" t="s">
        <v>1176</v>
      </c>
    </row>
    <row r="42" spans="1:23" ht="25.05" customHeight="1" x14ac:dyDescent="0.3">
      <c r="A42" s="1">
        <v>105</v>
      </c>
      <c r="B42" s="1" t="s">
        <v>25</v>
      </c>
      <c r="C42" s="7" t="s">
        <v>581</v>
      </c>
      <c r="D42" s="1" t="s">
        <v>582</v>
      </c>
      <c r="E42" s="1" t="s">
        <v>154</v>
      </c>
      <c r="F42" s="1">
        <v>2012</v>
      </c>
      <c r="G42" s="1">
        <v>2012</v>
      </c>
      <c r="H42" s="1" t="s">
        <v>583</v>
      </c>
      <c r="I42" s="4" t="s">
        <v>585</v>
      </c>
      <c r="J42" s="4" t="s">
        <v>30</v>
      </c>
      <c r="K42" s="1" t="str">
        <f>CONCATENATE("011010137297","")</f>
        <v>011010137297</v>
      </c>
      <c r="L42" s="1" t="s">
        <v>31</v>
      </c>
      <c r="M42" s="1">
        <v>427.07</v>
      </c>
      <c r="N42" s="1" t="s">
        <v>584</v>
      </c>
      <c r="O42" s="1">
        <v>2012</v>
      </c>
      <c r="P42" s="1"/>
      <c r="Q42" t="s">
        <v>51</v>
      </c>
      <c r="R42" t="s">
        <v>35</v>
      </c>
      <c r="T42">
        <v>204</v>
      </c>
      <c r="U42" t="s">
        <v>36</v>
      </c>
      <c r="W42" t="s">
        <v>580</v>
      </c>
    </row>
    <row r="43" spans="1:23" ht="25.05" customHeight="1" x14ac:dyDescent="0.3">
      <c r="A43" s="1">
        <v>180</v>
      </c>
      <c r="B43" s="1" t="s">
        <v>25</v>
      </c>
      <c r="C43" s="7" t="s">
        <v>1003</v>
      </c>
      <c r="D43" s="1" t="s">
        <v>1004</v>
      </c>
      <c r="E43" s="1" t="s">
        <v>373</v>
      </c>
      <c r="F43" s="1">
        <v>2015</v>
      </c>
      <c r="G43" s="1">
        <v>2015</v>
      </c>
      <c r="H43" s="1" t="s">
        <v>1005</v>
      </c>
      <c r="I43" s="4" t="s">
        <v>1007</v>
      </c>
      <c r="J43" s="4" t="s">
        <v>30</v>
      </c>
      <c r="K43" s="1" t="str">
        <f>CONCATENATE("011010164901","")</f>
        <v>011010164901</v>
      </c>
      <c r="L43" s="1" t="s">
        <v>31</v>
      </c>
      <c r="M43" s="1">
        <v>427.07</v>
      </c>
      <c r="N43" s="1" t="s">
        <v>1006</v>
      </c>
      <c r="O43" s="1">
        <v>2015</v>
      </c>
      <c r="P43" s="1"/>
      <c r="Q43" t="s">
        <v>51</v>
      </c>
      <c r="R43" t="s">
        <v>35</v>
      </c>
      <c r="T43">
        <v>262</v>
      </c>
      <c r="U43" t="s">
        <v>36</v>
      </c>
      <c r="W43" t="s">
        <v>991</v>
      </c>
    </row>
    <row r="44" spans="1:23" ht="25.05" customHeight="1" x14ac:dyDescent="0.3">
      <c r="A44" s="1">
        <v>175</v>
      </c>
      <c r="B44" s="1" t="s">
        <v>25</v>
      </c>
      <c r="C44" s="7" t="s">
        <v>974</v>
      </c>
      <c r="D44" s="1" t="s">
        <v>975</v>
      </c>
      <c r="E44" s="1" t="s">
        <v>976</v>
      </c>
      <c r="F44" s="1">
        <v>2015</v>
      </c>
      <c r="G44" s="1">
        <v>2015</v>
      </c>
      <c r="H44" s="1" t="s">
        <v>977</v>
      </c>
      <c r="I44" s="4" t="s">
        <v>979</v>
      </c>
      <c r="J44" s="4" t="s">
        <v>30</v>
      </c>
      <c r="K44" s="1" t="str">
        <f>CONCATENATE("011010164256","")</f>
        <v>011010164256</v>
      </c>
      <c r="L44" s="1" t="s">
        <v>31</v>
      </c>
      <c r="M44" s="1">
        <v>427.07</v>
      </c>
      <c r="N44" s="1" t="s">
        <v>978</v>
      </c>
      <c r="O44" s="1">
        <v>2015</v>
      </c>
      <c r="P44" s="1"/>
      <c r="Q44" t="s">
        <v>51</v>
      </c>
      <c r="R44" t="s">
        <v>35</v>
      </c>
      <c r="T44">
        <v>281</v>
      </c>
      <c r="U44" t="s">
        <v>36</v>
      </c>
      <c r="W44" t="s">
        <v>909</v>
      </c>
    </row>
    <row r="45" spans="1:23" ht="25.05" customHeight="1" x14ac:dyDescent="0.3">
      <c r="A45" s="1">
        <v>184</v>
      </c>
      <c r="B45" s="1" t="s">
        <v>25</v>
      </c>
      <c r="C45" s="7" t="s">
        <v>1023</v>
      </c>
      <c r="D45" s="1" t="s">
        <v>563</v>
      </c>
      <c r="E45" s="1" t="s">
        <v>1024</v>
      </c>
      <c r="F45" s="1" t="s">
        <v>884</v>
      </c>
      <c r="G45" s="1">
        <v>2015</v>
      </c>
      <c r="H45" s="1" t="s">
        <v>1025</v>
      </c>
      <c r="I45" s="4" t="s">
        <v>1027</v>
      </c>
      <c r="J45" s="4" t="s">
        <v>30</v>
      </c>
      <c r="K45" s="1" t="str">
        <f>CONCATENATE("011010165001","")</f>
        <v>011010165001</v>
      </c>
      <c r="L45" s="1" t="s">
        <v>31</v>
      </c>
      <c r="M45" s="1">
        <v>427.1</v>
      </c>
      <c r="N45" s="1" t="s">
        <v>1026</v>
      </c>
      <c r="O45" s="1">
        <v>2015</v>
      </c>
      <c r="P45" s="1"/>
      <c r="Q45" t="s">
        <v>51</v>
      </c>
      <c r="R45" t="s">
        <v>35</v>
      </c>
      <c r="T45">
        <v>160</v>
      </c>
      <c r="U45" t="s">
        <v>36</v>
      </c>
      <c r="W45" t="s">
        <v>1028</v>
      </c>
    </row>
    <row r="46" spans="1:23" ht="25.05" customHeight="1" x14ac:dyDescent="0.3">
      <c r="A46" s="1">
        <v>148</v>
      </c>
      <c r="B46" s="1" t="s">
        <v>25</v>
      </c>
      <c r="C46" s="7" t="s">
        <v>832</v>
      </c>
      <c r="D46" s="1" t="s">
        <v>833</v>
      </c>
      <c r="E46" s="1" t="s">
        <v>834</v>
      </c>
      <c r="F46" s="1" t="s">
        <v>701</v>
      </c>
      <c r="G46" s="1">
        <v>2013</v>
      </c>
      <c r="H46" s="1" t="s">
        <v>835</v>
      </c>
      <c r="I46" s="4" t="s">
        <v>837</v>
      </c>
      <c r="J46" s="4" t="s">
        <v>30</v>
      </c>
      <c r="K46" s="1" t="str">
        <f>CONCATENATE("011010152333","")</f>
        <v>011010152333</v>
      </c>
      <c r="L46" s="1" t="s">
        <v>31</v>
      </c>
      <c r="M46" s="1">
        <v>427.1</v>
      </c>
      <c r="N46" s="1" t="s">
        <v>836</v>
      </c>
      <c r="O46" s="1">
        <v>2013</v>
      </c>
      <c r="P46" s="1"/>
      <c r="Q46" t="s">
        <v>51</v>
      </c>
      <c r="R46" t="s">
        <v>35</v>
      </c>
      <c r="T46">
        <v>228</v>
      </c>
      <c r="U46" t="s">
        <v>36</v>
      </c>
      <c r="W46" t="s">
        <v>759</v>
      </c>
    </row>
    <row r="47" spans="1:23" ht="25.05" customHeight="1" x14ac:dyDescent="0.3">
      <c r="A47" s="1">
        <v>150</v>
      </c>
      <c r="B47" s="1" t="s">
        <v>25</v>
      </c>
      <c r="C47" s="7" t="s">
        <v>842</v>
      </c>
      <c r="D47" s="1" t="s">
        <v>843</v>
      </c>
      <c r="E47" s="1" t="s">
        <v>834</v>
      </c>
      <c r="F47" s="1" t="s">
        <v>715</v>
      </c>
      <c r="G47" s="1">
        <v>2014</v>
      </c>
      <c r="H47" s="1" t="s">
        <v>844</v>
      </c>
      <c r="I47" s="4" t="s">
        <v>846</v>
      </c>
      <c r="J47" s="4" t="s">
        <v>30</v>
      </c>
      <c r="K47" s="1" t="str">
        <f>CONCATENATE("011010153850","")</f>
        <v>011010153850</v>
      </c>
      <c r="L47" s="1" t="s">
        <v>31</v>
      </c>
      <c r="M47" s="1">
        <v>427.1</v>
      </c>
      <c r="N47" s="1" t="s">
        <v>845</v>
      </c>
      <c r="O47" s="1">
        <v>2014</v>
      </c>
      <c r="P47" s="1"/>
      <c r="Q47" t="s">
        <v>274</v>
      </c>
      <c r="R47" t="s">
        <v>35</v>
      </c>
      <c r="T47">
        <v>238</v>
      </c>
      <c r="U47" t="s">
        <v>36</v>
      </c>
      <c r="W47" t="s">
        <v>847</v>
      </c>
    </row>
    <row r="48" spans="1:23" ht="25.05" customHeight="1" x14ac:dyDescent="0.3">
      <c r="A48" s="1">
        <v>102</v>
      </c>
      <c r="B48" s="1" t="s">
        <v>25</v>
      </c>
      <c r="C48" s="7" t="s">
        <v>562</v>
      </c>
      <c r="D48" s="1" t="s">
        <v>563</v>
      </c>
      <c r="E48" s="1" t="s">
        <v>564</v>
      </c>
      <c r="F48" s="1">
        <v>2011</v>
      </c>
      <c r="G48" s="1">
        <v>2011</v>
      </c>
      <c r="H48" s="1" t="s">
        <v>565</v>
      </c>
      <c r="I48" s="4" t="s">
        <v>567</v>
      </c>
      <c r="J48" s="4" t="s">
        <v>30</v>
      </c>
      <c r="K48" s="1" t="str">
        <f>CONCATENATE("011010136264","")</f>
        <v>011010136264</v>
      </c>
      <c r="L48" s="1" t="s">
        <v>31</v>
      </c>
      <c r="M48" s="1">
        <v>427.1</v>
      </c>
      <c r="N48" s="1" t="s">
        <v>566</v>
      </c>
      <c r="O48" s="1">
        <v>2011</v>
      </c>
      <c r="P48" s="1"/>
      <c r="Q48" t="s">
        <v>51</v>
      </c>
      <c r="R48" t="s">
        <v>35</v>
      </c>
      <c r="T48">
        <v>168</v>
      </c>
      <c r="U48" t="s">
        <v>36</v>
      </c>
      <c r="W48" t="s">
        <v>568</v>
      </c>
    </row>
    <row r="49" spans="1:23" ht="25.05" customHeight="1" x14ac:dyDescent="0.3">
      <c r="A49" s="1">
        <v>108</v>
      </c>
      <c r="B49" s="1" t="s">
        <v>25</v>
      </c>
      <c r="C49" s="7" t="s">
        <v>601</v>
      </c>
      <c r="D49" s="1" t="s">
        <v>602</v>
      </c>
      <c r="E49" s="1" t="s">
        <v>603</v>
      </c>
      <c r="F49" s="1">
        <v>2011</v>
      </c>
      <c r="G49" s="1">
        <v>2011</v>
      </c>
      <c r="H49" s="1" t="s">
        <v>604</v>
      </c>
      <c r="I49" s="4" t="s">
        <v>606</v>
      </c>
      <c r="J49" s="4" t="s">
        <v>30</v>
      </c>
      <c r="K49" s="1" t="str">
        <f>CONCATENATE("011010140040","")</f>
        <v>011010140040</v>
      </c>
      <c r="L49" s="1" t="s">
        <v>31</v>
      </c>
      <c r="M49" s="1">
        <v>427.1</v>
      </c>
      <c r="N49" s="1" t="s">
        <v>605</v>
      </c>
      <c r="O49" s="1">
        <v>2011</v>
      </c>
      <c r="P49" s="1"/>
      <c r="Q49" t="s">
        <v>51</v>
      </c>
      <c r="R49" t="s">
        <v>35</v>
      </c>
      <c r="T49">
        <v>138</v>
      </c>
      <c r="U49" t="s">
        <v>36</v>
      </c>
      <c r="W49" t="s">
        <v>580</v>
      </c>
    </row>
    <row r="50" spans="1:23" ht="25.05" customHeight="1" x14ac:dyDescent="0.3">
      <c r="A50" s="1">
        <v>251</v>
      </c>
      <c r="B50" s="1" t="s">
        <v>25</v>
      </c>
      <c r="C50" s="7" t="s">
        <v>1352</v>
      </c>
      <c r="D50" s="1" t="s">
        <v>1353</v>
      </c>
      <c r="E50" s="1" t="s">
        <v>277</v>
      </c>
      <c r="F50" s="1">
        <v>2016</v>
      </c>
      <c r="G50" s="1">
        <v>2016</v>
      </c>
      <c r="H50" s="1" t="s">
        <v>1354</v>
      </c>
      <c r="I50" s="4" t="s">
        <v>1356</v>
      </c>
      <c r="J50" s="4" t="s">
        <v>30</v>
      </c>
      <c r="K50" s="1" t="str">
        <f>CONCATENATE("011010179231","")</f>
        <v>011010179231</v>
      </c>
      <c r="L50" s="1" t="s">
        <v>31</v>
      </c>
      <c r="M50" s="1">
        <v>427.1</v>
      </c>
      <c r="N50" s="1" t="s">
        <v>1355</v>
      </c>
      <c r="O50" s="1">
        <v>2016</v>
      </c>
      <c r="P50" s="1"/>
      <c r="Q50" t="s">
        <v>274</v>
      </c>
      <c r="R50" t="s">
        <v>35</v>
      </c>
      <c r="T50">
        <v>226</v>
      </c>
      <c r="U50" t="s">
        <v>36</v>
      </c>
      <c r="W50" t="s">
        <v>1357</v>
      </c>
    </row>
    <row r="51" spans="1:23" ht="25.05" customHeight="1" x14ac:dyDescent="0.3">
      <c r="A51" s="1">
        <v>5</v>
      </c>
      <c r="B51" s="1" t="s">
        <v>25</v>
      </c>
      <c r="C51" s="7" t="s">
        <v>2131</v>
      </c>
      <c r="D51" s="1" t="s">
        <v>2132</v>
      </c>
      <c r="E51" s="1" t="s">
        <v>609</v>
      </c>
      <c r="F51" s="1" t="s">
        <v>374</v>
      </c>
      <c r="G51" s="1">
        <v>2010</v>
      </c>
      <c r="H51" s="1" t="s">
        <v>2133</v>
      </c>
      <c r="I51" s="4" t="s">
        <v>2135</v>
      </c>
      <c r="J51" s="4" t="s">
        <v>30</v>
      </c>
      <c r="K51" s="1" t="str">
        <f>CONCATENATE("011010129981","")</f>
        <v>011010129981</v>
      </c>
      <c r="L51" s="1" t="s">
        <v>31</v>
      </c>
      <c r="M51" s="1">
        <v>427.1</v>
      </c>
      <c r="N51" s="1" t="s">
        <v>2134</v>
      </c>
      <c r="O51" s="1">
        <v>2011</v>
      </c>
      <c r="P51" s="1"/>
      <c r="Q51" t="s">
        <v>274</v>
      </c>
      <c r="R51" t="s">
        <v>35</v>
      </c>
      <c r="T51">
        <v>263</v>
      </c>
      <c r="U51" t="s">
        <v>36</v>
      </c>
      <c r="W51" t="s">
        <v>2136</v>
      </c>
    </row>
    <row r="52" spans="1:23" ht="25.05" customHeight="1" x14ac:dyDescent="0.3">
      <c r="A52" s="1">
        <v>30</v>
      </c>
      <c r="B52" s="1" t="s">
        <v>25</v>
      </c>
      <c r="C52" s="7" t="s">
        <v>218</v>
      </c>
      <c r="D52" s="1" t="s">
        <v>219</v>
      </c>
      <c r="E52" s="1" t="s">
        <v>94</v>
      </c>
      <c r="F52" s="1" t="s">
        <v>201</v>
      </c>
      <c r="G52" s="1">
        <v>2006</v>
      </c>
      <c r="H52" s="1"/>
      <c r="I52" s="4" t="s">
        <v>221</v>
      </c>
      <c r="J52" s="4" t="s">
        <v>30</v>
      </c>
      <c r="K52" s="1" t="str">
        <f>CONCATENATE("011010090771","")</f>
        <v>011010090771</v>
      </c>
      <c r="L52" s="1" t="s">
        <v>31</v>
      </c>
      <c r="M52" s="1">
        <v>427.1</v>
      </c>
      <c r="N52" s="1" t="s">
        <v>220</v>
      </c>
      <c r="O52" s="1">
        <v>2006</v>
      </c>
      <c r="P52" s="1"/>
      <c r="Q52" t="s">
        <v>51</v>
      </c>
      <c r="R52" t="s">
        <v>35</v>
      </c>
      <c r="T52">
        <v>110</v>
      </c>
      <c r="U52" t="s">
        <v>36</v>
      </c>
      <c r="W52" t="s">
        <v>222</v>
      </c>
    </row>
    <row r="53" spans="1:23" ht="25.05" customHeight="1" x14ac:dyDescent="0.3">
      <c r="A53" s="1">
        <v>193</v>
      </c>
      <c r="B53" s="1" t="s">
        <v>25</v>
      </c>
      <c r="C53" s="7" t="s">
        <v>1077</v>
      </c>
      <c r="D53" s="1" t="s">
        <v>954</v>
      </c>
      <c r="E53" s="1" t="s">
        <v>373</v>
      </c>
      <c r="F53" s="1" t="s">
        <v>995</v>
      </c>
      <c r="G53" s="1">
        <v>2016</v>
      </c>
      <c r="H53" s="1" t="s">
        <v>1078</v>
      </c>
      <c r="I53" s="4" t="s">
        <v>1080</v>
      </c>
      <c r="J53" s="4" t="s">
        <v>30</v>
      </c>
      <c r="K53" s="1" t="str">
        <f>CONCATENATE("011010165741","")</f>
        <v>011010165741</v>
      </c>
      <c r="L53" s="1" t="s">
        <v>31</v>
      </c>
      <c r="M53" s="1">
        <v>427.1</v>
      </c>
      <c r="N53" s="1" t="s">
        <v>1079</v>
      </c>
      <c r="O53" s="1">
        <v>2016</v>
      </c>
      <c r="P53" s="1"/>
      <c r="Q53" t="s">
        <v>51</v>
      </c>
      <c r="R53" t="s">
        <v>35</v>
      </c>
      <c r="T53">
        <v>234</v>
      </c>
      <c r="U53" t="s">
        <v>36</v>
      </c>
      <c r="W53" t="s">
        <v>1081</v>
      </c>
    </row>
    <row r="54" spans="1:23" ht="25.05" customHeight="1" x14ac:dyDescent="0.3">
      <c r="A54" s="1">
        <v>98</v>
      </c>
      <c r="B54" s="1" t="s">
        <v>25</v>
      </c>
      <c r="C54" s="7" t="s">
        <v>545</v>
      </c>
      <c r="D54" s="1" t="s">
        <v>546</v>
      </c>
      <c r="E54" s="1" t="s">
        <v>547</v>
      </c>
      <c r="F54" s="1" t="s">
        <v>515</v>
      </c>
      <c r="G54" s="1">
        <v>2011</v>
      </c>
      <c r="H54" s="1" t="s">
        <v>548</v>
      </c>
      <c r="I54" s="4" t="s">
        <v>550</v>
      </c>
      <c r="J54" s="4" t="s">
        <v>30</v>
      </c>
      <c r="K54" s="1" t="str">
        <f>CONCATENATE("011010135150","")</f>
        <v>011010135150</v>
      </c>
      <c r="L54" s="1" t="s">
        <v>31</v>
      </c>
      <c r="M54" s="1">
        <v>427.1</v>
      </c>
      <c r="N54" s="1" t="s">
        <v>549</v>
      </c>
      <c r="O54" s="1">
        <v>2011</v>
      </c>
      <c r="P54" s="1"/>
      <c r="Q54" t="s">
        <v>51</v>
      </c>
      <c r="R54" t="s">
        <v>35</v>
      </c>
      <c r="T54">
        <v>230</v>
      </c>
      <c r="U54" t="s">
        <v>36</v>
      </c>
      <c r="W54" t="s">
        <v>551</v>
      </c>
    </row>
    <row r="55" spans="1:23" ht="25.05" customHeight="1" x14ac:dyDescent="0.3">
      <c r="A55" s="1">
        <v>137</v>
      </c>
      <c r="B55" s="1" t="s">
        <v>25</v>
      </c>
      <c r="C55" s="7" t="s">
        <v>767</v>
      </c>
      <c r="D55" s="1" t="s">
        <v>768</v>
      </c>
      <c r="E55" s="1" t="s">
        <v>769</v>
      </c>
      <c r="F55" s="1" t="s">
        <v>715</v>
      </c>
      <c r="G55" s="1">
        <v>2013</v>
      </c>
      <c r="H55" s="1" t="s">
        <v>770</v>
      </c>
      <c r="I55" s="4" t="s">
        <v>772</v>
      </c>
      <c r="J55" s="4" t="s">
        <v>30</v>
      </c>
      <c r="K55" s="1" t="str">
        <f>CONCATENATE("011010150266","")</f>
        <v>011010150266</v>
      </c>
      <c r="L55" s="1" t="s">
        <v>31</v>
      </c>
      <c r="M55" s="1">
        <v>427.1</v>
      </c>
      <c r="N55" s="1" t="s">
        <v>771</v>
      </c>
      <c r="O55" s="1">
        <v>2014</v>
      </c>
      <c r="P55" s="1"/>
      <c r="Q55" t="s">
        <v>51</v>
      </c>
      <c r="R55" t="s">
        <v>35</v>
      </c>
      <c r="T55">
        <v>285</v>
      </c>
      <c r="U55" t="s">
        <v>36</v>
      </c>
      <c r="W55" t="s">
        <v>766</v>
      </c>
    </row>
    <row r="56" spans="1:23" ht="25.05" customHeight="1" x14ac:dyDescent="0.3">
      <c r="A56" s="1">
        <v>183</v>
      </c>
      <c r="B56" s="1" t="s">
        <v>25</v>
      </c>
      <c r="C56" s="7" t="s">
        <v>1018</v>
      </c>
      <c r="D56" s="1" t="s">
        <v>1019</v>
      </c>
      <c r="E56" s="1" t="s">
        <v>982</v>
      </c>
      <c r="F56" s="1" t="s">
        <v>995</v>
      </c>
      <c r="G56" s="1">
        <v>2016</v>
      </c>
      <c r="H56" s="1" t="s">
        <v>1020</v>
      </c>
      <c r="I56" s="4" t="s">
        <v>1022</v>
      </c>
      <c r="J56" s="4" t="s">
        <v>30</v>
      </c>
      <c r="K56" s="1" t="str">
        <f>CONCATENATE("011010164983","")</f>
        <v>011010164983</v>
      </c>
      <c r="L56" s="1" t="s">
        <v>31</v>
      </c>
      <c r="M56" s="1">
        <v>427.1</v>
      </c>
      <c r="N56" s="1" t="s">
        <v>1021</v>
      </c>
      <c r="O56" s="1">
        <v>2016</v>
      </c>
      <c r="P56" s="1"/>
      <c r="Q56" t="s">
        <v>51</v>
      </c>
      <c r="R56" t="s">
        <v>35</v>
      </c>
      <c r="T56">
        <v>262</v>
      </c>
      <c r="U56" t="s">
        <v>36</v>
      </c>
      <c r="W56" t="s">
        <v>991</v>
      </c>
    </row>
    <row r="57" spans="1:23" ht="25.05" customHeight="1" x14ac:dyDescent="0.3">
      <c r="A57" s="1">
        <v>5</v>
      </c>
      <c r="B57" s="1" t="s">
        <v>25</v>
      </c>
      <c r="C57" s="7" t="s">
        <v>1995</v>
      </c>
      <c r="D57" s="1" t="s">
        <v>1996</v>
      </c>
      <c r="E57" s="1" t="s">
        <v>1276</v>
      </c>
      <c r="F57" s="1">
        <v>2011</v>
      </c>
      <c r="G57" s="1">
        <v>2011</v>
      </c>
      <c r="H57" s="1" t="s">
        <v>1997</v>
      </c>
      <c r="I57" s="4" t="s">
        <v>1999</v>
      </c>
      <c r="J57" s="4" t="s">
        <v>30</v>
      </c>
      <c r="K57" s="1" t="str">
        <f>CONCATENATE("011010136343","")</f>
        <v>011010136343</v>
      </c>
      <c r="L57" s="1" t="s">
        <v>31</v>
      </c>
      <c r="M57" s="1">
        <v>427.1</v>
      </c>
      <c r="N57" s="1" t="s">
        <v>1998</v>
      </c>
      <c r="O57" s="1">
        <v>2011</v>
      </c>
      <c r="P57" s="1"/>
      <c r="Q57" t="s">
        <v>51</v>
      </c>
      <c r="R57" t="s">
        <v>35</v>
      </c>
      <c r="T57">
        <v>223</v>
      </c>
      <c r="U57" t="s">
        <v>36</v>
      </c>
      <c r="W57" t="s">
        <v>568</v>
      </c>
    </row>
    <row r="58" spans="1:23" ht="25.05" customHeight="1" x14ac:dyDescent="0.3">
      <c r="A58" s="1">
        <v>240</v>
      </c>
      <c r="B58" s="1" t="s">
        <v>25</v>
      </c>
      <c r="C58" s="7" t="s">
        <v>1285</v>
      </c>
      <c r="D58" s="1" t="s">
        <v>1286</v>
      </c>
      <c r="E58" s="1" t="s">
        <v>1287</v>
      </c>
      <c r="F58" s="1">
        <v>2017</v>
      </c>
      <c r="G58" s="1">
        <v>2017</v>
      </c>
      <c r="H58" s="1" t="s">
        <v>1288</v>
      </c>
      <c r="I58" s="4" t="s">
        <v>1290</v>
      </c>
      <c r="J58" s="4" t="s">
        <v>30</v>
      </c>
      <c r="K58" s="1" t="str">
        <f>CONCATENATE("011010176251","")</f>
        <v>011010176251</v>
      </c>
      <c r="L58" s="1" t="s">
        <v>31</v>
      </c>
      <c r="M58" s="1">
        <v>427.1</v>
      </c>
      <c r="N58" s="1" t="s">
        <v>1289</v>
      </c>
      <c r="O58" s="1">
        <v>2017</v>
      </c>
      <c r="P58" s="1"/>
      <c r="Q58" t="s">
        <v>51</v>
      </c>
      <c r="R58" t="s">
        <v>35</v>
      </c>
      <c r="T58">
        <v>293</v>
      </c>
      <c r="U58" t="s">
        <v>36</v>
      </c>
      <c r="W58" t="s">
        <v>1291</v>
      </c>
    </row>
    <row r="59" spans="1:23" ht="25.05" customHeight="1" x14ac:dyDescent="0.3">
      <c r="A59" s="1">
        <v>233</v>
      </c>
      <c r="B59" s="1" t="s">
        <v>25</v>
      </c>
      <c r="C59" s="7" t="s">
        <v>1245</v>
      </c>
      <c r="D59" s="1" t="s">
        <v>1246</v>
      </c>
      <c r="E59" s="1" t="s">
        <v>1247</v>
      </c>
      <c r="F59" s="1">
        <v>2018</v>
      </c>
      <c r="G59" s="1">
        <v>2018</v>
      </c>
      <c r="H59" s="1" t="s">
        <v>1248</v>
      </c>
      <c r="I59" s="4" t="s">
        <v>1250</v>
      </c>
      <c r="J59" s="4" t="s">
        <v>30</v>
      </c>
      <c r="K59" s="1" t="str">
        <f>CONCATENATE("011010175693","")</f>
        <v>011010175693</v>
      </c>
      <c r="L59" s="1" t="s">
        <v>31</v>
      </c>
      <c r="M59" s="1">
        <v>427.1</v>
      </c>
      <c r="N59" s="1" t="s">
        <v>1249</v>
      </c>
      <c r="O59" s="1">
        <v>2018</v>
      </c>
      <c r="P59" s="1"/>
      <c r="Q59" t="s">
        <v>51</v>
      </c>
      <c r="R59" t="s">
        <v>35</v>
      </c>
      <c r="T59">
        <v>314</v>
      </c>
      <c r="U59" t="s">
        <v>36</v>
      </c>
      <c r="W59" t="s">
        <v>1251</v>
      </c>
    </row>
    <row r="60" spans="1:23" ht="25.05" customHeight="1" x14ac:dyDescent="0.3">
      <c r="A60" s="1">
        <v>161</v>
      </c>
      <c r="B60" s="1" t="s">
        <v>25</v>
      </c>
      <c r="C60" s="7" t="s">
        <v>903</v>
      </c>
      <c r="D60" s="1" t="s">
        <v>904</v>
      </c>
      <c r="E60" s="1" t="s">
        <v>905</v>
      </c>
      <c r="F60" s="1">
        <v>2015</v>
      </c>
      <c r="G60" s="1">
        <v>2015</v>
      </c>
      <c r="H60" s="1" t="s">
        <v>906</v>
      </c>
      <c r="I60" s="4" t="s">
        <v>908</v>
      </c>
      <c r="J60" s="4" t="s">
        <v>30</v>
      </c>
      <c r="K60" s="1" t="str">
        <f>CONCATENATE("011010161860","")</f>
        <v>011010161860</v>
      </c>
      <c r="L60" s="1" t="s">
        <v>31</v>
      </c>
      <c r="M60" s="1">
        <v>427.1</v>
      </c>
      <c r="N60" s="1" t="s">
        <v>907</v>
      </c>
      <c r="O60" s="1">
        <v>2015</v>
      </c>
      <c r="P60" s="1"/>
      <c r="Q60" t="s">
        <v>51</v>
      </c>
      <c r="R60" t="s">
        <v>35</v>
      </c>
      <c r="T60">
        <v>234</v>
      </c>
      <c r="U60" t="s">
        <v>36</v>
      </c>
      <c r="W60" t="s">
        <v>909</v>
      </c>
    </row>
    <row r="61" spans="1:23" ht="25.05" customHeight="1" x14ac:dyDescent="0.3">
      <c r="A61" s="1">
        <v>12</v>
      </c>
      <c r="B61" s="1" t="s">
        <v>25</v>
      </c>
      <c r="C61" s="7" t="s">
        <v>122</v>
      </c>
      <c r="D61" s="1" t="s">
        <v>123</v>
      </c>
      <c r="E61" s="1" t="s">
        <v>124</v>
      </c>
      <c r="F61" s="1" t="s">
        <v>118</v>
      </c>
      <c r="G61" s="1">
        <v>1998</v>
      </c>
      <c r="H61" s="1" t="s">
        <v>125</v>
      </c>
      <c r="I61" s="4" t="s">
        <v>127</v>
      </c>
      <c r="J61" s="4" t="s">
        <v>30</v>
      </c>
      <c r="K61" s="1" t="str">
        <f>CONCATENATE("011010061032","")</f>
        <v>011010061032</v>
      </c>
      <c r="L61" s="1" t="s">
        <v>31</v>
      </c>
      <c r="M61" s="1">
        <v>427.1</v>
      </c>
      <c r="N61" s="1" t="s">
        <v>126</v>
      </c>
      <c r="O61" s="1"/>
      <c r="P61" s="1"/>
      <c r="Q61" t="s">
        <v>51</v>
      </c>
      <c r="R61" t="s">
        <v>35</v>
      </c>
      <c r="T61">
        <v>200</v>
      </c>
      <c r="U61" t="s">
        <v>36</v>
      </c>
    </row>
    <row r="62" spans="1:23" ht="25.05" customHeight="1" x14ac:dyDescent="0.3">
      <c r="A62" s="1">
        <v>254</v>
      </c>
      <c r="B62" s="1" t="s">
        <v>25</v>
      </c>
      <c r="C62" s="7" t="s">
        <v>1370</v>
      </c>
      <c r="D62" s="1" t="s">
        <v>1371</v>
      </c>
      <c r="E62" s="1" t="s">
        <v>1000</v>
      </c>
      <c r="F62" s="1">
        <v>2018</v>
      </c>
      <c r="G62" s="1">
        <v>2018</v>
      </c>
      <c r="H62" s="1" t="s">
        <v>1372</v>
      </c>
      <c r="I62" s="4" t="s">
        <v>1374</v>
      </c>
      <c r="J62" s="4" t="s">
        <v>30</v>
      </c>
      <c r="K62" s="1" t="str">
        <f>CONCATENATE("011010179276","")</f>
        <v>011010179276</v>
      </c>
      <c r="L62" s="1" t="s">
        <v>31</v>
      </c>
      <c r="M62" s="1">
        <v>427.1</v>
      </c>
      <c r="N62" s="1" t="s">
        <v>1373</v>
      </c>
      <c r="O62" s="1">
        <v>2018</v>
      </c>
      <c r="P62" s="1"/>
      <c r="Q62" t="s">
        <v>274</v>
      </c>
      <c r="R62" t="s">
        <v>35</v>
      </c>
      <c r="T62">
        <v>268</v>
      </c>
      <c r="U62" t="s">
        <v>36</v>
      </c>
      <c r="W62" t="s">
        <v>1357</v>
      </c>
    </row>
    <row r="63" spans="1:23" ht="25.05" customHeight="1" x14ac:dyDescent="0.3">
      <c r="A63" s="1">
        <v>111</v>
      </c>
      <c r="B63" s="1" t="s">
        <v>25</v>
      </c>
      <c r="C63" s="7" t="s">
        <v>617</v>
      </c>
      <c r="D63" s="1" t="s">
        <v>618</v>
      </c>
      <c r="E63" s="1" t="s">
        <v>619</v>
      </c>
      <c r="F63" s="1">
        <v>2011</v>
      </c>
      <c r="G63" s="1">
        <v>2011</v>
      </c>
      <c r="H63" s="1" t="s">
        <v>620</v>
      </c>
      <c r="I63" s="4" t="s">
        <v>622</v>
      </c>
      <c r="J63" s="4" t="s">
        <v>30</v>
      </c>
      <c r="K63" s="1" t="str">
        <f>CONCATENATE("011010140058","")</f>
        <v>011010140058</v>
      </c>
      <c r="L63" s="1" t="s">
        <v>31</v>
      </c>
      <c r="M63" s="1">
        <v>427.1</v>
      </c>
      <c r="N63" s="1" t="s">
        <v>621</v>
      </c>
      <c r="O63" s="1">
        <v>2011</v>
      </c>
      <c r="P63" s="1"/>
      <c r="Q63" t="s">
        <v>51</v>
      </c>
      <c r="R63" t="s">
        <v>35</v>
      </c>
      <c r="T63">
        <v>204</v>
      </c>
      <c r="U63" t="s">
        <v>36</v>
      </c>
      <c r="W63" t="s">
        <v>580</v>
      </c>
    </row>
    <row r="64" spans="1:23" ht="25.05" customHeight="1" x14ac:dyDescent="0.3">
      <c r="A64" s="1">
        <v>110</v>
      </c>
      <c r="B64" s="1" t="s">
        <v>25</v>
      </c>
      <c r="C64" s="7" t="s">
        <v>612</v>
      </c>
      <c r="D64" s="1" t="s">
        <v>613</v>
      </c>
      <c r="E64" s="1" t="s">
        <v>532</v>
      </c>
      <c r="F64" s="1">
        <v>2011</v>
      </c>
      <c r="G64" s="1">
        <v>2011</v>
      </c>
      <c r="H64" s="1" t="s">
        <v>614</v>
      </c>
      <c r="I64" s="4" t="s">
        <v>616</v>
      </c>
      <c r="J64" s="4" t="s">
        <v>30</v>
      </c>
      <c r="K64" s="1" t="str">
        <f>CONCATENATE("011010140057","")</f>
        <v>011010140057</v>
      </c>
      <c r="L64" s="1" t="s">
        <v>31</v>
      </c>
      <c r="M64" s="1">
        <v>427.1</v>
      </c>
      <c r="N64" s="1" t="s">
        <v>615</v>
      </c>
      <c r="O64" s="1">
        <v>2011</v>
      </c>
      <c r="P64" s="1"/>
      <c r="Q64" t="s">
        <v>51</v>
      </c>
      <c r="R64" t="s">
        <v>35</v>
      </c>
      <c r="T64">
        <v>199</v>
      </c>
      <c r="U64" t="s">
        <v>36</v>
      </c>
      <c r="W64" t="s">
        <v>580</v>
      </c>
    </row>
    <row r="65" spans="1:23" ht="25.05" customHeight="1" x14ac:dyDescent="0.3">
      <c r="A65" s="1">
        <v>91</v>
      </c>
      <c r="B65" s="1" t="s">
        <v>25</v>
      </c>
      <c r="C65" s="7" t="s">
        <v>507</v>
      </c>
      <c r="D65" s="1" t="s">
        <v>250</v>
      </c>
      <c r="E65" s="1" t="s">
        <v>414</v>
      </c>
      <c r="F65" s="1">
        <v>2009</v>
      </c>
      <c r="G65" s="1">
        <v>2009</v>
      </c>
      <c r="H65" s="1" t="s">
        <v>508</v>
      </c>
      <c r="I65" s="4" t="s">
        <v>510</v>
      </c>
      <c r="J65" s="4" t="s">
        <v>30</v>
      </c>
      <c r="K65" s="1" t="str">
        <f>CONCATENATE("011010133989","")</f>
        <v>011010133989</v>
      </c>
      <c r="L65" s="1" t="s">
        <v>31</v>
      </c>
      <c r="M65" s="1">
        <v>427.1</v>
      </c>
      <c r="N65" s="1" t="s">
        <v>509</v>
      </c>
      <c r="O65" s="1">
        <v>2009</v>
      </c>
      <c r="P65" s="1"/>
      <c r="Q65" t="s">
        <v>51</v>
      </c>
      <c r="R65" t="s">
        <v>35</v>
      </c>
      <c r="T65">
        <v>168</v>
      </c>
      <c r="U65" t="s">
        <v>36</v>
      </c>
      <c r="W65" t="s">
        <v>511</v>
      </c>
    </row>
    <row r="66" spans="1:23" ht="25.05" customHeight="1" x14ac:dyDescent="0.3">
      <c r="A66" s="1">
        <v>265</v>
      </c>
      <c r="B66" s="1" t="s">
        <v>25</v>
      </c>
      <c r="C66" s="7" t="s">
        <v>1423</v>
      </c>
      <c r="D66" s="1" t="s">
        <v>1424</v>
      </c>
      <c r="E66" s="1" t="s">
        <v>1425</v>
      </c>
      <c r="F66" s="1">
        <v>2019</v>
      </c>
      <c r="G66" s="1">
        <v>2019</v>
      </c>
      <c r="H66" s="1" t="s">
        <v>1426</v>
      </c>
      <c r="I66" s="4" t="s">
        <v>1428</v>
      </c>
      <c r="J66" s="4" t="s">
        <v>30</v>
      </c>
      <c r="K66" s="1" t="str">
        <f>CONCATENATE("011010180165","")</f>
        <v>011010180165</v>
      </c>
      <c r="L66" s="1" t="s">
        <v>31</v>
      </c>
      <c r="M66" s="1">
        <v>427.1</v>
      </c>
      <c r="N66" s="1" t="s">
        <v>1427</v>
      </c>
      <c r="O66" s="1">
        <v>2019</v>
      </c>
      <c r="P66" s="1"/>
      <c r="Q66" t="s">
        <v>1429</v>
      </c>
      <c r="R66" t="s">
        <v>35</v>
      </c>
      <c r="T66">
        <v>224</v>
      </c>
      <c r="U66" t="s">
        <v>36</v>
      </c>
      <c r="W66" t="s">
        <v>37</v>
      </c>
    </row>
    <row r="67" spans="1:23" ht="25.05" customHeight="1" x14ac:dyDescent="0.3">
      <c r="A67" s="1">
        <v>17</v>
      </c>
      <c r="B67" s="1" t="s">
        <v>25</v>
      </c>
      <c r="C67" s="7" t="s">
        <v>152</v>
      </c>
      <c r="D67" s="1" t="s">
        <v>153</v>
      </c>
      <c r="E67" s="1" t="s">
        <v>154</v>
      </c>
      <c r="F67" s="1" t="s">
        <v>148</v>
      </c>
      <c r="G67" s="1">
        <v>2000</v>
      </c>
      <c r="H67" s="1" t="s">
        <v>155</v>
      </c>
      <c r="I67" s="4" t="s">
        <v>157</v>
      </c>
      <c r="J67" s="4" t="s">
        <v>30</v>
      </c>
      <c r="K67" s="1" t="str">
        <f>CONCATENATE("011010071273","")</f>
        <v>011010071273</v>
      </c>
      <c r="L67" s="1" t="s">
        <v>31</v>
      </c>
      <c r="M67" s="1">
        <v>427.1</v>
      </c>
      <c r="N67" s="1" t="s">
        <v>156</v>
      </c>
      <c r="O67" s="1"/>
      <c r="P67" s="1"/>
      <c r="Q67" t="s">
        <v>51</v>
      </c>
      <c r="R67" t="s">
        <v>35</v>
      </c>
      <c r="T67">
        <v>207</v>
      </c>
      <c r="U67" t="s">
        <v>36</v>
      </c>
      <c r="W67" t="s">
        <v>158</v>
      </c>
    </row>
    <row r="68" spans="1:23" ht="25.05" customHeight="1" x14ac:dyDescent="0.3">
      <c r="A68" s="1">
        <v>192</v>
      </c>
      <c r="B68" s="1" t="s">
        <v>25</v>
      </c>
      <c r="C68" s="7" t="s">
        <v>1071</v>
      </c>
      <c r="D68" s="1" t="s">
        <v>1072</v>
      </c>
      <c r="E68" s="1" t="s">
        <v>1073</v>
      </c>
      <c r="F68" s="1">
        <v>2016</v>
      </c>
      <c r="G68" s="1">
        <v>2016</v>
      </c>
      <c r="H68" s="1" t="s">
        <v>1074</v>
      </c>
      <c r="I68" s="4" t="s">
        <v>1076</v>
      </c>
      <c r="J68" s="4" t="s">
        <v>30</v>
      </c>
      <c r="K68" s="1" t="str">
        <f>CONCATENATE("011010165724","")</f>
        <v>011010165724</v>
      </c>
      <c r="L68" s="1" t="s">
        <v>31</v>
      </c>
      <c r="M68" s="1">
        <v>427.1</v>
      </c>
      <c r="N68" s="1" t="s">
        <v>1075</v>
      </c>
      <c r="O68" s="1">
        <v>2016</v>
      </c>
      <c r="P68" s="1"/>
      <c r="Q68" t="s">
        <v>51</v>
      </c>
      <c r="R68" t="s">
        <v>35</v>
      </c>
      <c r="T68">
        <v>240</v>
      </c>
      <c r="U68" t="s">
        <v>36</v>
      </c>
      <c r="W68" t="s">
        <v>1070</v>
      </c>
    </row>
    <row r="69" spans="1:23" ht="25.05" customHeight="1" x14ac:dyDescent="0.3">
      <c r="A69" s="1">
        <v>130</v>
      </c>
      <c r="B69" s="1" t="s">
        <v>25</v>
      </c>
      <c r="C69" s="7" t="s">
        <v>720</v>
      </c>
      <c r="D69" s="1" t="s">
        <v>721</v>
      </c>
      <c r="E69" s="1" t="s">
        <v>625</v>
      </c>
      <c r="F69" s="1">
        <v>2012</v>
      </c>
      <c r="G69" s="1">
        <v>2012</v>
      </c>
      <c r="H69" s="1" t="s">
        <v>722</v>
      </c>
      <c r="I69" s="4" t="s">
        <v>724</v>
      </c>
      <c r="J69" s="4" t="s">
        <v>30</v>
      </c>
      <c r="K69" s="1" t="str">
        <f>CONCATENATE("011010143519","")</f>
        <v>011010143519</v>
      </c>
      <c r="L69" s="1" t="s">
        <v>31</v>
      </c>
      <c r="M69" s="1">
        <v>427.1</v>
      </c>
      <c r="N69" s="1" t="s">
        <v>723</v>
      </c>
      <c r="O69" s="1">
        <v>2012</v>
      </c>
      <c r="P69" s="1"/>
      <c r="Q69" t="s">
        <v>51</v>
      </c>
      <c r="R69" t="s">
        <v>35</v>
      </c>
      <c r="T69">
        <v>197</v>
      </c>
      <c r="U69" t="s">
        <v>36</v>
      </c>
      <c r="W69" t="s">
        <v>725</v>
      </c>
    </row>
    <row r="70" spans="1:23" ht="25.05" customHeight="1" x14ac:dyDescent="0.3">
      <c r="A70" s="1">
        <v>36</v>
      </c>
      <c r="B70" s="1" t="s">
        <v>25</v>
      </c>
      <c r="C70" s="7" t="s">
        <v>249</v>
      </c>
      <c r="D70" s="1" t="s">
        <v>250</v>
      </c>
      <c r="E70" s="1" t="s">
        <v>251</v>
      </c>
      <c r="F70" s="1" t="s">
        <v>225</v>
      </c>
      <c r="G70" s="1">
        <v>2007</v>
      </c>
      <c r="H70" s="1" t="s">
        <v>252</v>
      </c>
      <c r="I70" s="4" t="s">
        <v>254</v>
      </c>
      <c r="J70" s="4" t="s">
        <v>30</v>
      </c>
      <c r="K70" s="1" t="str">
        <f>CONCATENATE("011010093150","")</f>
        <v>011010093150</v>
      </c>
      <c r="L70" s="1" t="s">
        <v>31</v>
      </c>
      <c r="M70" s="1">
        <v>427.1</v>
      </c>
      <c r="N70" s="1" t="s">
        <v>253</v>
      </c>
      <c r="O70" s="1">
        <v>2007</v>
      </c>
      <c r="P70" s="1"/>
      <c r="Q70" t="s">
        <v>51</v>
      </c>
      <c r="R70" t="s">
        <v>35</v>
      </c>
      <c r="T70">
        <v>169</v>
      </c>
      <c r="U70" t="s">
        <v>36</v>
      </c>
      <c r="W70" t="s">
        <v>255</v>
      </c>
    </row>
    <row r="71" spans="1:23" ht="25.05" customHeight="1" x14ac:dyDescent="0.3">
      <c r="A71" s="1">
        <v>97</v>
      </c>
      <c r="B71" s="1" t="s">
        <v>25</v>
      </c>
      <c r="C71" s="7" t="s">
        <v>541</v>
      </c>
      <c r="D71" s="1" t="s">
        <v>442</v>
      </c>
      <c r="E71" s="1" t="s">
        <v>443</v>
      </c>
      <c r="F71" s="1" t="s">
        <v>515</v>
      </c>
      <c r="G71" s="1">
        <v>2011</v>
      </c>
      <c r="H71" s="1" t="s">
        <v>542</v>
      </c>
      <c r="I71" s="4" t="s">
        <v>544</v>
      </c>
      <c r="J71" s="4" t="s">
        <v>30</v>
      </c>
      <c r="K71" s="1" t="str">
        <f>CONCATENATE("011010134506","")</f>
        <v>011010134506</v>
      </c>
      <c r="L71" s="1" t="s">
        <v>31</v>
      </c>
      <c r="M71" s="1">
        <v>427.1</v>
      </c>
      <c r="N71" s="1" t="s">
        <v>543</v>
      </c>
      <c r="O71" s="1">
        <v>2011</v>
      </c>
      <c r="P71" s="1"/>
      <c r="Q71" t="s">
        <v>51</v>
      </c>
      <c r="R71" t="s">
        <v>35</v>
      </c>
      <c r="T71">
        <v>204</v>
      </c>
      <c r="U71" t="s">
        <v>36</v>
      </c>
      <c r="W71" t="s">
        <v>523</v>
      </c>
    </row>
    <row r="72" spans="1:23" ht="25.05" customHeight="1" x14ac:dyDescent="0.3">
      <c r="A72" s="1">
        <v>79</v>
      </c>
      <c r="B72" s="1" t="s">
        <v>25</v>
      </c>
      <c r="C72" s="7" t="s">
        <v>441</v>
      </c>
      <c r="D72" s="1" t="s">
        <v>442</v>
      </c>
      <c r="E72" s="1" t="s">
        <v>443</v>
      </c>
      <c r="F72" s="1" t="s">
        <v>374</v>
      </c>
      <c r="G72" s="1">
        <v>2010</v>
      </c>
      <c r="H72" s="1" t="s">
        <v>444</v>
      </c>
      <c r="I72" s="4" t="s">
        <v>446</v>
      </c>
      <c r="J72" s="4" t="s">
        <v>30</v>
      </c>
      <c r="K72" s="1" t="str">
        <f>CONCATENATE("011010127330","")</f>
        <v>011010127330</v>
      </c>
      <c r="L72" s="1" t="s">
        <v>31</v>
      </c>
      <c r="M72" s="1">
        <v>427.1</v>
      </c>
      <c r="N72" s="1" t="s">
        <v>445</v>
      </c>
      <c r="O72" s="1">
        <v>2010</v>
      </c>
      <c r="P72" s="1"/>
      <c r="Q72" t="s">
        <v>51</v>
      </c>
      <c r="R72" t="s">
        <v>35</v>
      </c>
      <c r="T72">
        <v>187</v>
      </c>
      <c r="U72" t="s">
        <v>36</v>
      </c>
      <c r="W72" t="s">
        <v>440</v>
      </c>
    </row>
    <row r="73" spans="1:23" ht="25.05" customHeight="1" x14ac:dyDescent="0.3">
      <c r="A73" s="1">
        <v>115</v>
      </c>
      <c r="B73" s="1" t="s">
        <v>25</v>
      </c>
      <c r="C73" s="7" t="s">
        <v>640</v>
      </c>
      <c r="D73" s="1" t="s">
        <v>641</v>
      </c>
      <c r="E73" s="1" t="s">
        <v>642</v>
      </c>
      <c r="F73" s="1">
        <v>2012</v>
      </c>
      <c r="G73" s="1">
        <v>2012</v>
      </c>
      <c r="H73" s="1" t="s">
        <v>643</v>
      </c>
      <c r="I73" s="4" t="s">
        <v>645</v>
      </c>
      <c r="J73" s="4" t="s">
        <v>30</v>
      </c>
      <c r="K73" s="1" t="str">
        <f>CONCATENATE("011010140515","")</f>
        <v>011010140515</v>
      </c>
      <c r="L73" s="1" t="s">
        <v>31</v>
      </c>
      <c r="M73" s="1">
        <v>427.1</v>
      </c>
      <c r="N73" s="1" t="s">
        <v>644</v>
      </c>
      <c r="O73" s="1">
        <v>2012</v>
      </c>
      <c r="P73" s="1"/>
      <c r="Q73" t="s">
        <v>51</v>
      </c>
      <c r="R73" t="s">
        <v>35</v>
      </c>
      <c r="T73">
        <v>241</v>
      </c>
      <c r="U73" t="s">
        <v>36</v>
      </c>
      <c r="W73" t="s">
        <v>646</v>
      </c>
    </row>
    <row r="74" spans="1:23" ht="25.05" customHeight="1" x14ac:dyDescent="0.3">
      <c r="A74" s="1">
        <v>139</v>
      </c>
      <c r="B74" s="1" t="s">
        <v>25</v>
      </c>
      <c r="C74" s="7" t="s">
        <v>780</v>
      </c>
      <c r="D74" s="1"/>
      <c r="E74" s="1" t="s">
        <v>781</v>
      </c>
      <c r="F74" s="1">
        <v>2012</v>
      </c>
      <c r="G74" s="1">
        <v>2012</v>
      </c>
      <c r="H74" s="1" t="s">
        <v>782</v>
      </c>
      <c r="I74" s="4" t="s">
        <v>784</v>
      </c>
      <c r="J74" s="4" t="s">
        <v>30</v>
      </c>
      <c r="K74" s="1" t="str">
        <f>CONCATENATE("011010151140","")</f>
        <v>011010151140</v>
      </c>
      <c r="L74" s="1" t="s">
        <v>31</v>
      </c>
      <c r="M74" s="1">
        <v>427.1</v>
      </c>
      <c r="N74" s="1" t="s">
        <v>783</v>
      </c>
      <c r="O74" s="1">
        <v>2012</v>
      </c>
      <c r="P74" s="1"/>
      <c r="Q74" t="s">
        <v>274</v>
      </c>
      <c r="R74" t="s">
        <v>35</v>
      </c>
      <c r="T74">
        <v>219</v>
      </c>
      <c r="U74" t="s">
        <v>36</v>
      </c>
      <c r="W74" t="s">
        <v>785</v>
      </c>
    </row>
    <row r="75" spans="1:23" ht="25.05" customHeight="1" x14ac:dyDescent="0.3">
      <c r="A75" s="1">
        <v>241</v>
      </c>
      <c r="B75" s="1" t="s">
        <v>25</v>
      </c>
      <c r="C75" s="7" t="s">
        <v>1292</v>
      </c>
      <c r="D75" s="1" t="s">
        <v>1293</v>
      </c>
      <c r="E75" s="1" t="s">
        <v>1294</v>
      </c>
      <c r="F75" s="1">
        <v>2018</v>
      </c>
      <c r="G75" s="1">
        <v>2018</v>
      </c>
      <c r="H75" s="1" t="s">
        <v>1295</v>
      </c>
      <c r="I75" s="4" t="s">
        <v>1297</v>
      </c>
      <c r="J75" s="4" t="s">
        <v>30</v>
      </c>
      <c r="K75" s="1" t="str">
        <f>CONCATENATE("011010176308","")</f>
        <v>011010176308</v>
      </c>
      <c r="L75" s="1" t="s">
        <v>31</v>
      </c>
      <c r="M75" s="1">
        <v>427.1</v>
      </c>
      <c r="N75" s="1" t="s">
        <v>1296</v>
      </c>
      <c r="O75" s="1">
        <v>2018</v>
      </c>
      <c r="P75" s="1"/>
      <c r="Q75" t="s">
        <v>51</v>
      </c>
      <c r="R75" t="s">
        <v>35</v>
      </c>
      <c r="T75">
        <v>259</v>
      </c>
      <c r="U75" t="s">
        <v>36</v>
      </c>
      <c r="W75" t="s">
        <v>1291</v>
      </c>
    </row>
    <row r="76" spans="1:23" ht="25.05" customHeight="1" x14ac:dyDescent="0.3">
      <c r="A76" s="1">
        <v>219</v>
      </c>
      <c r="B76" s="1" t="s">
        <v>25</v>
      </c>
      <c r="C76" s="7" t="s">
        <v>1171</v>
      </c>
      <c r="D76" s="1" t="s">
        <v>618</v>
      </c>
      <c r="E76" s="1" t="s">
        <v>1172</v>
      </c>
      <c r="F76" s="1" t="s">
        <v>1135</v>
      </c>
      <c r="G76" s="1">
        <v>2017</v>
      </c>
      <c r="H76" s="1" t="s">
        <v>1173</v>
      </c>
      <c r="I76" s="4" t="s">
        <v>1175</v>
      </c>
      <c r="J76" s="4" t="s">
        <v>30</v>
      </c>
      <c r="K76" s="1" t="str">
        <f>CONCATENATE("011010173824","")</f>
        <v>011010173824</v>
      </c>
      <c r="L76" s="1" t="s">
        <v>31</v>
      </c>
      <c r="M76" s="1">
        <v>427.1</v>
      </c>
      <c r="N76" s="1" t="s">
        <v>1174</v>
      </c>
      <c r="O76" s="1">
        <v>2017</v>
      </c>
      <c r="P76" s="1"/>
      <c r="Q76" t="s">
        <v>274</v>
      </c>
      <c r="R76" t="s">
        <v>35</v>
      </c>
      <c r="T76">
        <v>256</v>
      </c>
      <c r="U76" t="s">
        <v>36</v>
      </c>
      <c r="W76" t="s">
        <v>1176</v>
      </c>
    </row>
    <row r="77" spans="1:23" ht="25.05" customHeight="1" x14ac:dyDescent="0.3">
      <c r="A77" s="1">
        <v>145</v>
      </c>
      <c r="B77" s="1" t="s">
        <v>25</v>
      </c>
      <c r="C77" s="7" t="s">
        <v>817</v>
      </c>
      <c r="D77" s="1" t="s">
        <v>818</v>
      </c>
      <c r="E77" s="1" t="s">
        <v>154</v>
      </c>
      <c r="F77" s="1" t="s">
        <v>715</v>
      </c>
      <c r="G77" s="1">
        <v>2014</v>
      </c>
      <c r="H77" s="1" t="s">
        <v>819</v>
      </c>
      <c r="I77" s="4" t="s">
        <v>821</v>
      </c>
      <c r="J77" s="4" t="s">
        <v>30</v>
      </c>
      <c r="K77" s="1" t="str">
        <f>CONCATENATE("011010151602","")</f>
        <v>011010151602</v>
      </c>
      <c r="L77" s="1" t="s">
        <v>31</v>
      </c>
      <c r="M77" s="1">
        <v>427.1</v>
      </c>
      <c r="N77" s="1" t="s">
        <v>820</v>
      </c>
      <c r="O77" s="1">
        <v>2014</v>
      </c>
      <c r="P77" s="1"/>
      <c r="Q77" t="s">
        <v>51</v>
      </c>
      <c r="R77" t="s">
        <v>35</v>
      </c>
      <c r="T77">
        <v>1445</v>
      </c>
      <c r="U77" t="s">
        <v>36</v>
      </c>
      <c r="W77" t="s">
        <v>810</v>
      </c>
    </row>
    <row r="78" spans="1:23" ht="25.05" customHeight="1" x14ac:dyDescent="0.3">
      <c r="A78" s="1">
        <v>163</v>
      </c>
      <c r="B78" s="1" t="s">
        <v>25</v>
      </c>
      <c r="C78" s="7" t="s">
        <v>915</v>
      </c>
      <c r="D78" s="1" t="s">
        <v>916</v>
      </c>
      <c r="E78" s="1" t="s">
        <v>917</v>
      </c>
      <c r="F78" s="1">
        <v>2015.1</v>
      </c>
      <c r="G78" s="1">
        <v>2015</v>
      </c>
      <c r="H78" s="1" t="s">
        <v>918</v>
      </c>
      <c r="I78" s="4" t="s">
        <v>920</v>
      </c>
      <c r="J78" s="4" t="s">
        <v>30</v>
      </c>
      <c r="K78" s="1" t="str">
        <f>CONCATENATE("011010162118","")</f>
        <v>011010162118</v>
      </c>
      <c r="L78" s="1" t="s">
        <v>31</v>
      </c>
      <c r="M78" s="1">
        <v>427.1</v>
      </c>
      <c r="N78" s="1" t="s">
        <v>919</v>
      </c>
      <c r="O78" s="1">
        <v>2015</v>
      </c>
      <c r="P78" s="1"/>
      <c r="Q78" t="s">
        <v>51</v>
      </c>
      <c r="R78" t="s">
        <v>35</v>
      </c>
      <c r="T78">
        <v>254</v>
      </c>
      <c r="U78" t="s">
        <v>36</v>
      </c>
      <c r="W78" t="s">
        <v>909</v>
      </c>
    </row>
    <row r="79" spans="1:23" ht="25.05" customHeight="1" x14ac:dyDescent="0.3">
      <c r="A79" s="1">
        <v>10</v>
      </c>
      <c r="B79" s="1" t="s">
        <v>25</v>
      </c>
      <c r="C79" s="7" t="s">
        <v>2146</v>
      </c>
      <c r="D79" s="1" t="s">
        <v>2147</v>
      </c>
      <c r="E79" s="1" t="s">
        <v>277</v>
      </c>
      <c r="F79" s="1" t="s">
        <v>1135</v>
      </c>
      <c r="G79" s="1">
        <v>2017</v>
      </c>
      <c r="H79" s="1" t="s">
        <v>2148</v>
      </c>
      <c r="I79" s="4" t="s">
        <v>2150</v>
      </c>
      <c r="J79" s="4" t="s">
        <v>30</v>
      </c>
      <c r="K79" s="1" t="str">
        <f>CONCATENATE("011010173839","")</f>
        <v>011010173839</v>
      </c>
      <c r="L79" s="1" t="s">
        <v>31</v>
      </c>
      <c r="M79" s="1">
        <v>427.1</v>
      </c>
      <c r="N79" s="1" t="s">
        <v>2149</v>
      </c>
      <c r="O79" s="1">
        <v>2017</v>
      </c>
      <c r="P79" s="1"/>
      <c r="Q79" t="s">
        <v>51</v>
      </c>
      <c r="R79" t="s">
        <v>35</v>
      </c>
      <c r="T79">
        <v>336</v>
      </c>
      <c r="U79" t="s">
        <v>36</v>
      </c>
      <c r="W79" t="s">
        <v>1176</v>
      </c>
    </row>
    <row r="80" spans="1:23" ht="25.05" customHeight="1" x14ac:dyDescent="0.3">
      <c r="A80" s="1">
        <v>230</v>
      </c>
      <c r="B80" s="1" t="s">
        <v>25</v>
      </c>
      <c r="C80" s="7" t="s">
        <v>1230</v>
      </c>
      <c r="D80" s="1" t="s">
        <v>1231</v>
      </c>
      <c r="E80" s="1" t="s">
        <v>1232</v>
      </c>
      <c r="F80" s="1" t="s">
        <v>995</v>
      </c>
      <c r="G80" s="1">
        <v>2016</v>
      </c>
      <c r="H80" s="1" t="s">
        <v>1233</v>
      </c>
      <c r="I80" s="4" t="s">
        <v>1235</v>
      </c>
      <c r="J80" s="4" t="s">
        <v>30</v>
      </c>
      <c r="K80" s="1" t="str">
        <f>CONCATENATE("011010175404","")</f>
        <v>011010175404</v>
      </c>
      <c r="L80" s="1" t="s">
        <v>31</v>
      </c>
      <c r="M80" s="1">
        <v>427.1</v>
      </c>
      <c r="N80" s="1" t="s">
        <v>1234</v>
      </c>
      <c r="O80" s="1">
        <v>2016</v>
      </c>
      <c r="P80" s="1"/>
      <c r="Q80" t="s">
        <v>274</v>
      </c>
      <c r="R80" t="s">
        <v>35</v>
      </c>
      <c r="T80">
        <v>234</v>
      </c>
      <c r="U80" t="s">
        <v>36</v>
      </c>
      <c r="W80" t="s">
        <v>1223</v>
      </c>
    </row>
    <row r="81" spans="1:23" ht="25.05" customHeight="1" x14ac:dyDescent="0.3">
      <c r="A81" s="1">
        <v>5</v>
      </c>
      <c r="B81" s="1" t="s">
        <v>25</v>
      </c>
      <c r="C81" s="7" t="s">
        <v>73</v>
      </c>
      <c r="D81" s="1" t="s">
        <v>74</v>
      </c>
      <c r="E81" s="1" t="s">
        <v>75</v>
      </c>
      <c r="F81" s="1" t="s">
        <v>62</v>
      </c>
      <c r="G81" s="1">
        <v>2005</v>
      </c>
      <c r="H81" s="1" t="s">
        <v>76</v>
      </c>
      <c r="I81" s="4" t="s">
        <v>78</v>
      </c>
      <c r="J81" s="4" t="s">
        <v>30</v>
      </c>
      <c r="K81" s="1" t="str">
        <f>CONCATENATE("011010048244","")</f>
        <v>011010048244</v>
      </c>
      <c r="L81" s="1" t="s">
        <v>31</v>
      </c>
      <c r="M81" s="1">
        <v>427.1</v>
      </c>
      <c r="N81" s="1" t="s">
        <v>77</v>
      </c>
      <c r="O81" s="1">
        <v>2005</v>
      </c>
      <c r="P81" s="1"/>
      <c r="Q81" t="s">
        <v>51</v>
      </c>
      <c r="R81" t="s">
        <v>35</v>
      </c>
      <c r="T81">
        <v>189</v>
      </c>
      <c r="U81" t="s">
        <v>36</v>
      </c>
      <c r="W81" t="s">
        <v>66</v>
      </c>
    </row>
    <row r="82" spans="1:23" ht="25.05" customHeight="1" x14ac:dyDescent="0.3">
      <c r="A82" s="1">
        <v>2</v>
      </c>
      <c r="B82" s="1" t="s">
        <v>25</v>
      </c>
      <c r="C82" s="7" t="s">
        <v>2116</v>
      </c>
      <c r="D82" s="1" t="s">
        <v>2117</v>
      </c>
      <c r="E82" s="1" t="s">
        <v>69</v>
      </c>
      <c r="F82" s="1" t="s">
        <v>259</v>
      </c>
      <c r="G82" s="1">
        <v>2008</v>
      </c>
      <c r="H82" s="1" t="s">
        <v>2118</v>
      </c>
      <c r="I82" s="4" t="s">
        <v>2120</v>
      </c>
      <c r="J82" s="4" t="s">
        <v>30</v>
      </c>
      <c r="K82" s="1" t="str">
        <f>CONCATENATE("011010114128","")</f>
        <v>011010114128</v>
      </c>
      <c r="L82" s="1" t="s">
        <v>31</v>
      </c>
      <c r="M82" s="1">
        <v>427.1</v>
      </c>
      <c r="N82" s="1" t="s">
        <v>2119</v>
      </c>
      <c r="O82" s="1">
        <v>2008</v>
      </c>
      <c r="P82" s="1"/>
      <c r="Q82" t="s">
        <v>51</v>
      </c>
      <c r="R82" t="s">
        <v>35</v>
      </c>
      <c r="T82">
        <v>235</v>
      </c>
      <c r="U82" t="s">
        <v>36</v>
      </c>
      <c r="W82" t="s">
        <v>370</v>
      </c>
    </row>
    <row r="83" spans="1:23" ht="25.05" customHeight="1" x14ac:dyDescent="0.3">
      <c r="A83" s="1">
        <v>266</v>
      </c>
      <c r="B83" s="1" t="s">
        <v>25</v>
      </c>
      <c r="C83" s="7" t="s">
        <v>1430</v>
      </c>
      <c r="D83" s="1" t="s">
        <v>1431</v>
      </c>
      <c r="E83" s="1" t="s">
        <v>813</v>
      </c>
      <c r="F83" s="1">
        <v>2018</v>
      </c>
      <c r="G83" s="1">
        <v>2018</v>
      </c>
      <c r="H83" s="1" t="s">
        <v>1432</v>
      </c>
      <c r="I83" s="4" t="s">
        <v>1434</v>
      </c>
      <c r="J83" s="4" t="s">
        <v>30</v>
      </c>
      <c r="K83" s="1" t="str">
        <f>CONCATENATE("011010180212","")</f>
        <v>011010180212</v>
      </c>
      <c r="L83" s="1" t="s">
        <v>31</v>
      </c>
      <c r="M83" s="1">
        <v>427.1</v>
      </c>
      <c r="N83" s="1" t="s">
        <v>1433</v>
      </c>
      <c r="O83" s="1">
        <v>2018</v>
      </c>
      <c r="P83" s="1"/>
      <c r="Q83" t="s">
        <v>34</v>
      </c>
      <c r="R83" t="s">
        <v>35</v>
      </c>
      <c r="T83">
        <v>279</v>
      </c>
      <c r="U83" t="s">
        <v>36</v>
      </c>
      <c r="W83" t="s">
        <v>37</v>
      </c>
    </row>
    <row r="84" spans="1:23" ht="25.05" customHeight="1" x14ac:dyDescent="0.3">
      <c r="A84" s="1">
        <v>28</v>
      </c>
      <c r="B84" s="1" t="s">
        <v>25</v>
      </c>
      <c r="C84" s="7" t="s">
        <v>2036</v>
      </c>
      <c r="D84" s="1" t="s">
        <v>2037</v>
      </c>
      <c r="E84" s="1" t="s">
        <v>564</v>
      </c>
      <c r="F84" s="1">
        <v>2016</v>
      </c>
      <c r="G84" s="1">
        <v>2016</v>
      </c>
      <c r="H84" s="1" t="s">
        <v>2038</v>
      </c>
      <c r="I84" s="4" t="s">
        <v>2040</v>
      </c>
      <c r="J84" s="4" t="s">
        <v>30</v>
      </c>
      <c r="K84" s="1" t="str">
        <f>CONCATENATE("011010180213","")</f>
        <v>011010180213</v>
      </c>
      <c r="L84" s="1" t="s">
        <v>31</v>
      </c>
      <c r="M84" s="1">
        <v>427.1</v>
      </c>
      <c r="N84" s="1" t="s">
        <v>2039</v>
      </c>
      <c r="O84" s="1">
        <v>2016</v>
      </c>
      <c r="P84" s="1"/>
      <c r="Q84" t="s">
        <v>34</v>
      </c>
      <c r="R84" t="s">
        <v>35</v>
      </c>
      <c r="T84">
        <v>252</v>
      </c>
      <c r="U84" t="s">
        <v>36</v>
      </c>
      <c r="W84" t="s">
        <v>37</v>
      </c>
    </row>
    <row r="85" spans="1:23" ht="25.05" customHeight="1" x14ac:dyDescent="0.3">
      <c r="A85" s="1">
        <v>72</v>
      </c>
      <c r="B85" s="1" t="s">
        <v>25</v>
      </c>
      <c r="C85" s="7" t="s">
        <v>412</v>
      </c>
      <c r="D85" s="1" t="s">
        <v>413</v>
      </c>
      <c r="E85" s="1" t="s">
        <v>414</v>
      </c>
      <c r="F85" s="1" t="s">
        <v>374</v>
      </c>
      <c r="G85" s="1">
        <v>2010</v>
      </c>
      <c r="H85" s="1" t="s">
        <v>415</v>
      </c>
      <c r="I85" s="4" t="s">
        <v>417</v>
      </c>
      <c r="J85" s="4" t="s">
        <v>30</v>
      </c>
      <c r="K85" s="1" t="str">
        <f>CONCATENATE("011010125428","")</f>
        <v>011010125428</v>
      </c>
      <c r="L85" s="1" t="s">
        <v>31</v>
      </c>
      <c r="M85" s="1">
        <v>427.1</v>
      </c>
      <c r="N85" s="1" t="s">
        <v>416</v>
      </c>
      <c r="O85" s="1">
        <v>2010</v>
      </c>
      <c r="P85" s="1"/>
      <c r="Q85" t="s">
        <v>51</v>
      </c>
      <c r="R85" t="s">
        <v>35</v>
      </c>
      <c r="T85">
        <v>228</v>
      </c>
      <c r="U85" t="s">
        <v>36</v>
      </c>
      <c r="W85" t="s">
        <v>418</v>
      </c>
    </row>
    <row r="86" spans="1:23" ht="25.05" customHeight="1" x14ac:dyDescent="0.3">
      <c r="A86" s="1">
        <v>6</v>
      </c>
      <c r="B86" s="1" t="s">
        <v>25</v>
      </c>
      <c r="C86" s="7" t="s">
        <v>79</v>
      </c>
      <c r="D86" s="1" t="s">
        <v>80</v>
      </c>
      <c r="E86" s="1" t="s">
        <v>81</v>
      </c>
      <c r="F86" s="1" t="s">
        <v>62</v>
      </c>
      <c r="G86" s="1">
        <v>2005</v>
      </c>
      <c r="H86" s="1" t="s">
        <v>82</v>
      </c>
      <c r="I86" s="4" t="s">
        <v>84</v>
      </c>
      <c r="J86" s="4" t="s">
        <v>30</v>
      </c>
      <c r="K86" s="1" t="str">
        <f>CONCATENATE("011010048247","")</f>
        <v>011010048247</v>
      </c>
      <c r="L86" s="1" t="s">
        <v>31</v>
      </c>
      <c r="M86" s="1">
        <v>427.1</v>
      </c>
      <c r="N86" s="1" t="s">
        <v>83</v>
      </c>
      <c r="O86" s="1">
        <v>2005</v>
      </c>
      <c r="P86" s="1"/>
      <c r="Q86" t="s">
        <v>51</v>
      </c>
      <c r="R86" t="s">
        <v>35</v>
      </c>
      <c r="T86">
        <v>189</v>
      </c>
      <c r="U86" t="s">
        <v>36</v>
      </c>
      <c r="W86" t="s">
        <v>66</v>
      </c>
    </row>
    <row r="87" spans="1:23" ht="25.05" customHeight="1" x14ac:dyDescent="0.3">
      <c r="A87" s="1">
        <v>191</v>
      </c>
      <c r="B87" s="1" t="s">
        <v>25</v>
      </c>
      <c r="C87" s="7" t="s">
        <v>1064</v>
      </c>
      <c r="D87" s="1" t="s">
        <v>1065</v>
      </c>
      <c r="E87" s="1" t="s">
        <v>1066</v>
      </c>
      <c r="F87" s="1" t="s">
        <v>995</v>
      </c>
      <c r="G87" s="1">
        <v>2016</v>
      </c>
      <c r="H87" s="1" t="s">
        <v>1067</v>
      </c>
      <c r="I87" s="4" t="s">
        <v>1069</v>
      </c>
      <c r="J87" s="4" t="s">
        <v>30</v>
      </c>
      <c r="K87" s="1" t="str">
        <f>CONCATENATE("011010165619","")</f>
        <v>011010165619</v>
      </c>
      <c r="L87" s="1" t="s">
        <v>31</v>
      </c>
      <c r="M87" s="1">
        <v>427.1</v>
      </c>
      <c r="N87" s="1" t="s">
        <v>1068</v>
      </c>
      <c r="O87" s="1">
        <v>2016</v>
      </c>
      <c r="P87" s="1"/>
      <c r="Q87" t="s">
        <v>51</v>
      </c>
      <c r="R87" t="s">
        <v>35</v>
      </c>
      <c r="T87">
        <v>285</v>
      </c>
      <c r="U87" t="s">
        <v>36</v>
      </c>
      <c r="W87" t="s">
        <v>1070</v>
      </c>
    </row>
    <row r="88" spans="1:23" ht="25.05" customHeight="1" x14ac:dyDescent="0.3">
      <c r="A88" s="1">
        <v>127</v>
      </c>
      <c r="B88" s="1" t="s">
        <v>25</v>
      </c>
      <c r="C88" s="7" t="s">
        <v>699</v>
      </c>
      <c r="D88" s="1" t="s">
        <v>700</v>
      </c>
      <c r="E88" s="1" t="s">
        <v>406</v>
      </c>
      <c r="F88" s="1" t="s">
        <v>701</v>
      </c>
      <c r="G88" s="1">
        <v>2013</v>
      </c>
      <c r="H88" s="1" t="s">
        <v>702</v>
      </c>
      <c r="I88" s="4" t="s">
        <v>704</v>
      </c>
      <c r="J88" s="4" t="s">
        <v>30</v>
      </c>
      <c r="K88" s="1" t="str">
        <f>CONCATENATE("011010142071","")</f>
        <v>011010142071</v>
      </c>
      <c r="L88" s="1" t="s">
        <v>31</v>
      </c>
      <c r="M88" s="1">
        <v>427.1</v>
      </c>
      <c r="N88" s="1" t="s">
        <v>703</v>
      </c>
      <c r="O88" s="1">
        <v>2013</v>
      </c>
      <c r="P88" s="1"/>
      <c r="Q88" t="s">
        <v>51</v>
      </c>
      <c r="R88" t="s">
        <v>35</v>
      </c>
      <c r="T88">
        <v>245</v>
      </c>
      <c r="U88" t="s">
        <v>36</v>
      </c>
      <c r="W88" t="s">
        <v>705</v>
      </c>
    </row>
    <row r="89" spans="1:23" ht="25.05" customHeight="1" x14ac:dyDescent="0.3">
      <c r="A89" s="1">
        <v>81</v>
      </c>
      <c r="B89" s="1" t="s">
        <v>25</v>
      </c>
      <c r="C89" s="7" t="s">
        <v>447</v>
      </c>
      <c r="D89" s="1" t="s">
        <v>448</v>
      </c>
      <c r="E89" s="1" t="s">
        <v>449</v>
      </c>
      <c r="F89" s="1">
        <v>2010</v>
      </c>
      <c r="G89" s="1">
        <v>2010</v>
      </c>
      <c r="H89" s="1" t="s">
        <v>450</v>
      </c>
      <c r="I89" s="4" t="s">
        <v>452</v>
      </c>
      <c r="J89" s="4" t="s">
        <v>30</v>
      </c>
      <c r="K89" s="1" t="str">
        <f>CONCATENATE("011010127706","")</f>
        <v>011010127706</v>
      </c>
      <c r="L89" s="1" t="s">
        <v>31</v>
      </c>
      <c r="M89" s="1">
        <v>427.1</v>
      </c>
      <c r="N89" s="1" t="s">
        <v>451</v>
      </c>
      <c r="O89" s="1">
        <v>2010</v>
      </c>
      <c r="P89" s="1"/>
      <c r="Q89" t="s">
        <v>51</v>
      </c>
      <c r="R89" t="s">
        <v>35</v>
      </c>
      <c r="T89">
        <v>204</v>
      </c>
      <c r="U89" t="s">
        <v>36</v>
      </c>
      <c r="W89" t="s">
        <v>453</v>
      </c>
    </row>
    <row r="90" spans="1:23" ht="25.05" customHeight="1" x14ac:dyDescent="0.3">
      <c r="A90" s="1">
        <v>253</v>
      </c>
      <c r="B90" s="1" t="s">
        <v>25</v>
      </c>
      <c r="C90" s="7" t="s">
        <v>1365</v>
      </c>
      <c r="D90" s="1" t="s">
        <v>1366</v>
      </c>
      <c r="E90" s="1" t="s">
        <v>1000</v>
      </c>
      <c r="F90" s="1">
        <v>2019</v>
      </c>
      <c r="G90" s="1">
        <v>2019</v>
      </c>
      <c r="H90" s="1" t="s">
        <v>1367</v>
      </c>
      <c r="I90" s="4" t="s">
        <v>1369</v>
      </c>
      <c r="J90" s="4" t="s">
        <v>30</v>
      </c>
      <c r="K90" s="1" t="str">
        <f>CONCATENATE("011010179246","")</f>
        <v>011010179246</v>
      </c>
      <c r="L90" s="1" t="s">
        <v>31</v>
      </c>
      <c r="M90" s="1">
        <v>427.1</v>
      </c>
      <c r="N90" s="1" t="s">
        <v>1368</v>
      </c>
      <c r="O90" s="1">
        <v>2019</v>
      </c>
      <c r="P90" s="1"/>
      <c r="Q90" t="s">
        <v>51</v>
      </c>
      <c r="R90" t="s">
        <v>35</v>
      </c>
      <c r="T90">
        <v>254</v>
      </c>
      <c r="U90" t="s">
        <v>36</v>
      </c>
      <c r="W90" t="s">
        <v>1357</v>
      </c>
    </row>
    <row r="91" spans="1:23" ht="25.05" customHeight="1" x14ac:dyDescent="0.3">
      <c r="A91" s="1">
        <v>181</v>
      </c>
      <c r="B91" s="1" t="s">
        <v>25</v>
      </c>
      <c r="C91" s="7" t="s">
        <v>1008</v>
      </c>
      <c r="D91" s="1" t="s">
        <v>1009</v>
      </c>
      <c r="E91" s="1" t="s">
        <v>982</v>
      </c>
      <c r="F91" s="1" t="s">
        <v>995</v>
      </c>
      <c r="G91" s="1">
        <v>2016</v>
      </c>
      <c r="H91" s="1" t="s">
        <v>1010</v>
      </c>
      <c r="I91" s="4" t="s">
        <v>1012</v>
      </c>
      <c r="J91" s="4" t="s">
        <v>30</v>
      </c>
      <c r="K91" s="1" t="str">
        <f>CONCATENATE("011010164902","")</f>
        <v>011010164902</v>
      </c>
      <c r="L91" s="1" t="s">
        <v>31</v>
      </c>
      <c r="M91" s="1">
        <v>427.1</v>
      </c>
      <c r="N91" s="1" t="s">
        <v>1011</v>
      </c>
      <c r="O91" s="1">
        <v>2016</v>
      </c>
      <c r="P91" s="1"/>
      <c r="Q91" t="s">
        <v>51</v>
      </c>
      <c r="R91" t="s">
        <v>35</v>
      </c>
      <c r="T91">
        <v>262</v>
      </c>
      <c r="U91" t="s">
        <v>36</v>
      </c>
      <c r="W91" t="s">
        <v>991</v>
      </c>
    </row>
    <row r="92" spans="1:23" ht="25.05" customHeight="1" x14ac:dyDescent="0.3">
      <c r="A92" s="1">
        <v>134</v>
      </c>
      <c r="B92" s="1" t="s">
        <v>25</v>
      </c>
      <c r="C92" s="7" t="s">
        <v>747</v>
      </c>
      <c r="D92" s="1" t="s">
        <v>748</v>
      </c>
      <c r="E92" s="1" t="s">
        <v>373</v>
      </c>
      <c r="F92" s="1" t="s">
        <v>701</v>
      </c>
      <c r="G92" s="1">
        <v>2013</v>
      </c>
      <c r="H92" s="1" t="s">
        <v>749</v>
      </c>
      <c r="I92" s="4" t="s">
        <v>751</v>
      </c>
      <c r="J92" s="4" t="s">
        <v>30</v>
      </c>
      <c r="K92" s="1" t="str">
        <f>CONCATENATE("011010146513","")</f>
        <v>011010146513</v>
      </c>
      <c r="L92" s="1" t="s">
        <v>31</v>
      </c>
      <c r="M92" s="1">
        <v>427.1</v>
      </c>
      <c r="N92" s="1" t="s">
        <v>750</v>
      </c>
      <c r="O92" s="1">
        <v>2013</v>
      </c>
      <c r="P92" s="1"/>
      <c r="Q92" t="s">
        <v>51</v>
      </c>
      <c r="R92" t="s">
        <v>35</v>
      </c>
      <c r="T92">
        <v>248</v>
      </c>
      <c r="U92" t="s">
        <v>36</v>
      </c>
      <c r="W92" t="s">
        <v>752</v>
      </c>
    </row>
    <row r="93" spans="1:23" ht="25.05" customHeight="1" x14ac:dyDescent="0.3">
      <c r="A93" s="1">
        <v>164</v>
      </c>
      <c r="B93" s="1" t="s">
        <v>25</v>
      </c>
      <c r="C93" s="7" t="s">
        <v>921</v>
      </c>
      <c r="D93" s="1" t="s">
        <v>748</v>
      </c>
      <c r="E93" s="1" t="s">
        <v>41</v>
      </c>
      <c r="F93" s="1">
        <v>2015</v>
      </c>
      <c r="G93" s="1">
        <v>2015</v>
      </c>
      <c r="H93" s="1" t="s">
        <v>922</v>
      </c>
      <c r="I93" s="4" t="s">
        <v>924</v>
      </c>
      <c r="J93" s="4" t="s">
        <v>30</v>
      </c>
      <c r="K93" s="1" t="str">
        <f>CONCATENATE("011010162303","")</f>
        <v>011010162303</v>
      </c>
      <c r="L93" s="1" t="s">
        <v>31</v>
      </c>
      <c r="M93" s="1">
        <v>427.1</v>
      </c>
      <c r="N93" s="1" t="s">
        <v>923</v>
      </c>
      <c r="O93" s="1">
        <v>2015</v>
      </c>
      <c r="P93" s="1"/>
      <c r="Q93" t="s">
        <v>51</v>
      </c>
      <c r="R93" t="s">
        <v>35</v>
      </c>
      <c r="T93">
        <v>255</v>
      </c>
      <c r="U93" t="s">
        <v>36</v>
      </c>
      <c r="W93" t="s">
        <v>909</v>
      </c>
    </row>
    <row r="94" spans="1:23" ht="25.05" customHeight="1" x14ac:dyDescent="0.3">
      <c r="A94" s="1">
        <v>58</v>
      </c>
      <c r="B94" s="1" t="s">
        <v>25</v>
      </c>
      <c r="C94" s="7" t="s">
        <v>356</v>
      </c>
      <c r="D94" s="1" t="s">
        <v>357</v>
      </c>
      <c r="E94" s="1" t="s">
        <v>245</v>
      </c>
      <c r="F94" s="1" t="s">
        <v>225</v>
      </c>
      <c r="G94" s="1">
        <v>2007</v>
      </c>
      <c r="H94" s="1" t="s">
        <v>358</v>
      </c>
      <c r="I94" s="4" t="s">
        <v>361</v>
      </c>
      <c r="J94" s="4" t="s">
        <v>30</v>
      </c>
      <c r="K94" s="1" t="str">
        <f>CONCATENATE("011010113929","")</f>
        <v>011010113929</v>
      </c>
      <c r="L94" s="1" t="s">
        <v>31</v>
      </c>
      <c r="M94" s="1">
        <v>427.1</v>
      </c>
      <c r="N94" s="1" t="s">
        <v>359</v>
      </c>
      <c r="O94" s="1">
        <v>2007</v>
      </c>
      <c r="P94" s="1" t="s">
        <v>360</v>
      </c>
      <c r="Q94" t="s">
        <v>51</v>
      </c>
      <c r="R94" t="s">
        <v>35</v>
      </c>
      <c r="S94" t="s">
        <v>362</v>
      </c>
      <c r="T94">
        <v>294</v>
      </c>
      <c r="U94" t="s">
        <v>36</v>
      </c>
      <c r="W94" t="s">
        <v>355</v>
      </c>
    </row>
    <row r="95" spans="1:23" ht="25.05" customHeight="1" x14ac:dyDescent="0.3">
      <c r="A95" s="1">
        <v>104</v>
      </c>
      <c r="B95" s="1" t="s">
        <v>25</v>
      </c>
      <c r="C95" s="7" t="s">
        <v>575</v>
      </c>
      <c r="D95" s="1" t="s">
        <v>357</v>
      </c>
      <c r="E95" s="1" t="s">
        <v>576</v>
      </c>
      <c r="F95" s="1">
        <v>2011</v>
      </c>
      <c r="G95" s="1">
        <v>2011</v>
      </c>
      <c r="H95" s="1" t="s">
        <v>577</v>
      </c>
      <c r="I95" s="4" t="s">
        <v>579</v>
      </c>
      <c r="J95" s="4" t="s">
        <v>30</v>
      </c>
      <c r="K95" s="1" t="str">
        <f>CONCATENATE("011010137247","")</f>
        <v>011010137247</v>
      </c>
      <c r="L95" s="1" t="s">
        <v>31</v>
      </c>
      <c r="M95" s="1">
        <v>427.1</v>
      </c>
      <c r="N95" s="1" t="s">
        <v>359</v>
      </c>
      <c r="O95" s="1">
        <v>2011</v>
      </c>
      <c r="P95" s="1" t="s">
        <v>578</v>
      </c>
      <c r="Q95" t="s">
        <v>51</v>
      </c>
      <c r="R95" t="s">
        <v>35</v>
      </c>
      <c r="T95">
        <v>249</v>
      </c>
      <c r="U95" t="s">
        <v>36</v>
      </c>
      <c r="W95" t="s">
        <v>580</v>
      </c>
    </row>
    <row r="96" spans="1:23" ht="25.05" customHeight="1" x14ac:dyDescent="0.3">
      <c r="A96" s="1">
        <v>190</v>
      </c>
      <c r="B96" s="1" t="s">
        <v>25</v>
      </c>
      <c r="C96" s="7" t="s">
        <v>1057</v>
      </c>
      <c r="D96" s="1" t="s">
        <v>1058</v>
      </c>
      <c r="E96" s="1" t="s">
        <v>1059</v>
      </c>
      <c r="F96" s="1" t="s">
        <v>995</v>
      </c>
      <c r="G96" s="1">
        <v>2016</v>
      </c>
      <c r="H96" s="1" t="s">
        <v>1060</v>
      </c>
      <c r="I96" s="4" t="s">
        <v>1062</v>
      </c>
      <c r="J96" s="4" t="s">
        <v>30</v>
      </c>
      <c r="K96" s="1" t="str">
        <f>CONCATENATE("011010165491","")</f>
        <v>011010165491</v>
      </c>
      <c r="L96" s="1" t="s">
        <v>31</v>
      </c>
      <c r="M96" s="1">
        <v>427.1</v>
      </c>
      <c r="N96" s="1" t="s">
        <v>1061</v>
      </c>
      <c r="O96" s="1">
        <v>2016</v>
      </c>
      <c r="P96" s="1"/>
      <c r="Q96" t="s">
        <v>51</v>
      </c>
      <c r="R96" t="s">
        <v>35</v>
      </c>
      <c r="T96">
        <v>270</v>
      </c>
      <c r="U96" t="s">
        <v>36</v>
      </c>
      <c r="W96" t="s">
        <v>1063</v>
      </c>
    </row>
    <row r="97" spans="1:23" ht="25.05" customHeight="1" x14ac:dyDescent="0.3">
      <c r="A97" s="1">
        <v>30</v>
      </c>
      <c r="B97" s="1" t="s">
        <v>25</v>
      </c>
      <c r="C97" s="7" t="s">
        <v>2047</v>
      </c>
      <c r="D97" s="1" t="s">
        <v>2048</v>
      </c>
      <c r="E97" s="1" t="s">
        <v>1000</v>
      </c>
      <c r="F97" s="1">
        <v>2016</v>
      </c>
      <c r="G97" s="1">
        <v>2016</v>
      </c>
      <c r="H97" s="1" t="s">
        <v>2049</v>
      </c>
      <c r="I97" s="4" t="s">
        <v>2051</v>
      </c>
      <c r="J97" s="4" t="s">
        <v>30</v>
      </c>
      <c r="K97" s="1" t="str">
        <f>CONCATENATE("011010180256","")</f>
        <v>011010180256</v>
      </c>
      <c r="L97" s="1" t="s">
        <v>31</v>
      </c>
      <c r="M97" s="1">
        <v>427.1</v>
      </c>
      <c r="N97" s="1" t="s">
        <v>2050</v>
      </c>
      <c r="O97" s="1">
        <v>2016</v>
      </c>
      <c r="P97" s="1"/>
      <c r="Q97" t="s">
        <v>34</v>
      </c>
      <c r="R97" t="s">
        <v>35</v>
      </c>
      <c r="T97">
        <v>224</v>
      </c>
      <c r="U97" t="s">
        <v>36</v>
      </c>
      <c r="W97" t="s">
        <v>37</v>
      </c>
    </row>
    <row r="98" spans="1:23" ht="25.05" customHeight="1" x14ac:dyDescent="0.3">
      <c r="A98" s="1">
        <v>167</v>
      </c>
      <c r="B98" s="1" t="s">
        <v>25</v>
      </c>
      <c r="C98" s="7" t="s">
        <v>937</v>
      </c>
      <c r="D98" s="1" t="s">
        <v>938</v>
      </c>
      <c r="E98" s="1" t="s">
        <v>373</v>
      </c>
      <c r="F98" s="1">
        <v>2013.12</v>
      </c>
      <c r="G98" s="1">
        <v>2013</v>
      </c>
      <c r="H98" s="1" t="s">
        <v>939</v>
      </c>
      <c r="I98" s="4" t="s">
        <v>941</v>
      </c>
      <c r="J98" s="4" t="s">
        <v>30</v>
      </c>
      <c r="K98" s="1" t="str">
        <f>CONCATENATE("011010162543","")</f>
        <v>011010162543</v>
      </c>
      <c r="L98" s="1" t="s">
        <v>31</v>
      </c>
      <c r="M98" s="1">
        <v>427.1</v>
      </c>
      <c r="N98" s="1" t="s">
        <v>940</v>
      </c>
      <c r="O98" s="1">
        <v>2013</v>
      </c>
      <c r="P98" s="1"/>
      <c r="Q98" t="s">
        <v>51</v>
      </c>
      <c r="R98" t="s">
        <v>35</v>
      </c>
      <c r="T98">
        <v>212</v>
      </c>
      <c r="U98" t="s">
        <v>36</v>
      </c>
      <c r="W98" t="s">
        <v>936</v>
      </c>
    </row>
    <row r="99" spans="1:23" ht="25.05" customHeight="1" x14ac:dyDescent="0.3">
      <c r="A99" s="1">
        <v>9</v>
      </c>
      <c r="B99" s="1" t="s">
        <v>25</v>
      </c>
      <c r="C99" s="7" t="s">
        <v>2010</v>
      </c>
      <c r="D99" s="1" t="s">
        <v>2011</v>
      </c>
      <c r="E99" s="1" t="s">
        <v>564</v>
      </c>
      <c r="F99" s="1" t="s">
        <v>715</v>
      </c>
      <c r="G99" s="1">
        <v>2014</v>
      </c>
      <c r="H99" s="1" t="s">
        <v>2012</v>
      </c>
      <c r="I99" s="4" t="s">
        <v>2013</v>
      </c>
      <c r="J99" s="4" t="s">
        <v>30</v>
      </c>
      <c r="K99" s="1" t="str">
        <f>CONCATENATE("011010155762","")</f>
        <v>011010155762</v>
      </c>
      <c r="L99" s="1" t="s">
        <v>31</v>
      </c>
      <c r="M99" s="1">
        <v>427.1</v>
      </c>
      <c r="N99" s="1" t="s">
        <v>261</v>
      </c>
      <c r="O99" s="1">
        <v>2014</v>
      </c>
      <c r="P99" s="1"/>
      <c r="Q99" t="s">
        <v>51</v>
      </c>
      <c r="R99" t="s">
        <v>35</v>
      </c>
      <c r="T99">
        <v>203</v>
      </c>
      <c r="U99" t="s">
        <v>36</v>
      </c>
      <c r="W99" t="s">
        <v>854</v>
      </c>
    </row>
    <row r="100" spans="1:23" ht="25.05" customHeight="1" x14ac:dyDescent="0.3">
      <c r="A100" s="1">
        <v>146</v>
      </c>
      <c r="B100" s="1" t="s">
        <v>25</v>
      </c>
      <c r="C100" s="7" t="s">
        <v>822</v>
      </c>
      <c r="D100" s="1" t="s">
        <v>823</v>
      </c>
      <c r="E100" s="1" t="s">
        <v>742</v>
      </c>
      <c r="F100" s="1" t="s">
        <v>701</v>
      </c>
      <c r="G100" s="1">
        <v>2013</v>
      </c>
      <c r="H100" s="1" t="s">
        <v>824</v>
      </c>
      <c r="I100" s="4" t="s">
        <v>825</v>
      </c>
      <c r="J100" s="4" t="s">
        <v>30</v>
      </c>
      <c r="K100" s="1" t="str">
        <f>CONCATENATE("011010152251","")</f>
        <v>011010152251</v>
      </c>
      <c r="L100" s="1" t="s">
        <v>31</v>
      </c>
      <c r="M100" s="1">
        <v>427.1</v>
      </c>
      <c r="N100" s="1" t="s">
        <v>815</v>
      </c>
      <c r="O100" s="1">
        <v>2013</v>
      </c>
      <c r="P100" s="1"/>
      <c r="Q100" t="s">
        <v>51</v>
      </c>
      <c r="R100" t="s">
        <v>35</v>
      </c>
      <c r="T100">
        <v>264</v>
      </c>
      <c r="U100" t="s">
        <v>36</v>
      </c>
      <c r="W100" t="s">
        <v>759</v>
      </c>
    </row>
    <row r="101" spans="1:23" ht="25.05" customHeight="1" x14ac:dyDescent="0.3">
      <c r="A101" s="1">
        <v>224</v>
      </c>
      <c r="B101" s="1" t="s">
        <v>25</v>
      </c>
      <c r="C101" s="7" t="s">
        <v>1198</v>
      </c>
      <c r="D101" s="1"/>
      <c r="E101" s="1" t="s">
        <v>1179</v>
      </c>
      <c r="F101" s="1" t="s">
        <v>1135</v>
      </c>
      <c r="G101" s="1">
        <v>2017</v>
      </c>
      <c r="H101" s="1" t="s">
        <v>1199</v>
      </c>
      <c r="I101" s="4" t="s">
        <v>1201</v>
      </c>
      <c r="J101" s="4" t="s">
        <v>30</v>
      </c>
      <c r="K101" s="1" t="str">
        <f>CONCATENATE("011010174088","")</f>
        <v>011010174088</v>
      </c>
      <c r="L101" s="1" t="s">
        <v>31</v>
      </c>
      <c r="M101" s="1">
        <v>427.1</v>
      </c>
      <c r="N101" s="1" t="s">
        <v>1200</v>
      </c>
      <c r="O101" s="1">
        <v>2017</v>
      </c>
      <c r="P101" s="1"/>
      <c r="Q101" t="s">
        <v>51</v>
      </c>
      <c r="R101" t="s">
        <v>35</v>
      </c>
      <c r="T101">
        <v>224</v>
      </c>
      <c r="U101" t="s">
        <v>36</v>
      </c>
      <c r="W101" t="s">
        <v>1176</v>
      </c>
    </row>
    <row r="102" spans="1:23" ht="25.05" customHeight="1" x14ac:dyDescent="0.3">
      <c r="A102" s="1">
        <v>245</v>
      </c>
      <c r="B102" s="1" t="s">
        <v>25</v>
      </c>
      <c r="C102" s="7" t="s">
        <v>1315</v>
      </c>
      <c r="D102" s="1" t="s">
        <v>1316</v>
      </c>
      <c r="E102" s="1" t="s">
        <v>1317</v>
      </c>
      <c r="F102" s="1">
        <v>2018</v>
      </c>
      <c r="G102" s="1">
        <v>2018</v>
      </c>
      <c r="H102" s="1" t="s">
        <v>1318</v>
      </c>
      <c r="I102" s="4" t="s">
        <v>1320</v>
      </c>
      <c r="J102" s="4" t="s">
        <v>30</v>
      </c>
      <c r="K102" s="1" t="str">
        <f>CONCATENATE("011010179007","")</f>
        <v>011010179007</v>
      </c>
      <c r="L102" s="1" t="s">
        <v>31</v>
      </c>
      <c r="M102" s="1">
        <v>427.1</v>
      </c>
      <c r="N102" s="1" t="s">
        <v>1319</v>
      </c>
      <c r="O102" s="1">
        <v>2018</v>
      </c>
      <c r="P102" s="1"/>
      <c r="Q102" t="s">
        <v>51</v>
      </c>
      <c r="R102" t="s">
        <v>35</v>
      </c>
      <c r="T102">
        <v>206</v>
      </c>
      <c r="U102" t="s">
        <v>36</v>
      </c>
      <c r="W102" t="s">
        <v>1314</v>
      </c>
    </row>
    <row r="103" spans="1:23" ht="25.05" customHeight="1" x14ac:dyDescent="0.3">
      <c r="A103" s="1">
        <v>90</v>
      </c>
      <c r="B103" s="1" t="s">
        <v>25</v>
      </c>
      <c r="C103" s="7" t="s">
        <v>501</v>
      </c>
      <c r="D103" s="1" t="s">
        <v>502</v>
      </c>
      <c r="E103" s="1" t="s">
        <v>503</v>
      </c>
      <c r="F103" s="1">
        <v>2011</v>
      </c>
      <c r="G103" s="1">
        <v>2011</v>
      </c>
      <c r="H103" s="1" t="s">
        <v>504</v>
      </c>
      <c r="I103" s="4" t="s">
        <v>506</v>
      </c>
      <c r="J103" s="4" t="s">
        <v>30</v>
      </c>
      <c r="K103" s="1" t="str">
        <f>CONCATENATE("011010133281","")</f>
        <v>011010133281</v>
      </c>
      <c r="L103" s="1" t="s">
        <v>31</v>
      </c>
      <c r="M103" s="1">
        <v>427.1</v>
      </c>
      <c r="N103" s="1" t="s">
        <v>505</v>
      </c>
      <c r="O103" s="1">
        <v>2011</v>
      </c>
      <c r="P103" s="1"/>
      <c r="Q103" t="s">
        <v>51</v>
      </c>
      <c r="R103" t="s">
        <v>35</v>
      </c>
      <c r="T103">
        <v>237</v>
      </c>
      <c r="U103" t="s">
        <v>36</v>
      </c>
      <c r="W103" t="s">
        <v>500</v>
      </c>
    </row>
    <row r="104" spans="1:23" ht="25.05" customHeight="1" x14ac:dyDescent="0.3">
      <c r="A104" s="1">
        <v>4</v>
      </c>
      <c r="B104" s="1" t="s">
        <v>25</v>
      </c>
      <c r="C104" s="7" t="s">
        <v>67</v>
      </c>
      <c r="D104" s="1" t="s">
        <v>68</v>
      </c>
      <c r="E104" s="1" t="s">
        <v>69</v>
      </c>
      <c r="F104" s="1" t="s">
        <v>62</v>
      </c>
      <c r="G104" s="1">
        <v>2005</v>
      </c>
      <c r="H104" s="1" t="s">
        <v>70</v>
      </c>
      <c r="I104" s="4" t="s">
        <v>72</v>
      </c>
      <c r="J104" s="4" t="s">
        <v>30</v>
      </c>
      <c r="K104" s="1" t="str">
        <f>CONCATENATE("011010047761","")</f>
        <v>011010047761</v>
      </c>
      <c r="L104" s="1" t="s">
        <v>31</v>
      </c>
      <c r="M104" s="1">
        <v>427.1</v>
      </c>
      <c r="N104" s="1" t="s">
        <v>71</v>
      </c>
      <c r="O104" s="1">
        <v>2005</v>
      </c>
      <c r="P104" s="1"/>
      <c r="Q104" t="s">
        <v>51</v>
      </c>
      <c r="R104" t="s">
        <v>35</v>
      </c>
      <c r="T104">
        <v>172</v>
      </c>
      <c r="U104" t="s">
        <v>36</v>
      </c>
      <c r="W104" t="s">
        <v>66</v>
      </c>
    </row>
    <row r="105" spans="1:23" ht="25.05" customHeight="1" x14ac:dyDescent="0.3">
      <c r="A105" s="1">
        <v>44</v>
      </c>
      <c r="B105" s="1" t="s">
        <v>25</v>
      </c>
      <c r="C105" s="7" t="s">
        <v>285</v>
      </c>
      <c r="D105" s="1" t="s">
        <v>286</v>
      </c>
      <c r="E105" s="1" t="s">
        <v>69</v>
      </c>
      <c r="F105" s="1" t="s">
        <v>225</v>
      </c>
      <c r="G105" s="1">
        <v>2007</v>
      </c>
      <c r="H105" s="1" t="s">
        <v>287</v>
      </c>
      <c r="I105" s="4" t="s">
        <v>289</v>
      </c>
      <c r="J105" s="4" t="s">
        <v>30</v>
      </c>
      <c r="K105" s="1" t="str">
        <f>CONCATENATE("011010099069","")</f>
        <v>011010099069</v>
      </c>
      <c r="L105" s="1" t="s">
        <v>31</v>
      </c>
      <c r="M105" s="1">
        <v>427.1</v>
      </c>
      <c r="N105" s="1" t="s">
        <v>288</v>
      </c>
      <c r="O105" s="1">
        <v>2007</v>
      </c>
      <c r="P105" s="1"/>
      <c r="Q105" t="s">
        <v>51</v>
      </c>
      <c r="R105" t="s">
        <v>35</v>
      </c>
      <c r="T105">
        <v>168</v>
      </c>
      <c r="U105" t="s">
        <v>36</v>
      </c>
      <c r="W105" t="s">
        <v>281</v>
      </c>
    </row>
    <row r="106" spans="1:23" ht="25.05" customHeight="1" x14ac:dyDescent="0.3">
      <c r="A106" s="1">
        <v>187</v>
      </c>
      <c r="B106" s="1" t="s">
        <v>25</v>
      </c>
      <c r="C106" s="7" t="s">
        <v>1040</v>
      </c>
      <c r="D106" s="1" t="s">
        <v>1041</v>
      </c>
      <c r="E106" s="1" t="s">
        <v>1042</v>
      </c>
      <c r="F106" s="1" t="s">
        <v>884</v>
      </c>
      <c r="G106" s="1">
        <v>2015</v>
      </c>
      <c r="H106" s="1" t="s">
        <v>1043</v>
      </c>
      <c r="I106" s="4" t="s">
        <v>1045</v>
      </c>
      <c r="J106" s="4" t="s">
        <v>30</v>
      </c>
      <c r="K106" s="1" t="str">
        <f>CONCATENATE("011010165107","")</f>
        <v>011010165107</v>
      </c>
      <c r="L106" s="1" t="s">
        <v>31</v>
      </c>
      <c r="M106" s="1">
        <v>427.1</v>
      </c>
      <c r="N106" s="1" t="s">
        <v>1044</v>
      </c>
      <c r="O106" s="1">
        <v>2015</v>
      </c>
      <c r="P106" s="1"/>
      <c r="Q106" t="s">
        <v>51</v>
      </c>
      <c r="R106" t="s">
        <v>35</v>
      </c>
      <c r="T106">
        <v>160</v>
      </c>
      <c r="U106" t="s">
        <v>36</v>
      </c>
      <c r="W106" t="s">
        <v>1028</v>
      </c>
    </row>
    <row r="107" spans="1:23" ht="25.05" customHeight="1" x14ac:dyDescent="0.3">
      <c r="A107" s="1">
        <v>9</v>
      </c>
      <c r="B107" s="1" t="s">
        <v>25</v>
      </c>
      <c r="C107" s="7" t="s">
        <v>100</v>
      </c>
      <c r="D107" s="1" t="s">
        <v>101</v>
      </c>
      <c r="E107" s="1" t="s">
        <v>102</v>
      </c>
      <c r="F107" s="1" t="s">
        <v>103</v>
      </c>
      <c r="G107" s="1">
        <v>1996</v>
      </c>
      <c r="H107" s="1" t="s">
        <v>104</v>
      </c>
      <c r="I107" s="4" t="s">
        <v>106</v>
      </c>
      <c r="J107" s="4" t="s">
        <v>30</v>
      </c>
      <c r="K107" s="1" t="str">
        <f>CONCATENATE("011010053195","")</f>
        <v>011010053195</v>
      </c>
      <c r="L107" s="1" t="s">
        <v>31</v>
      </c>
      <c r="M107" s="1">
        <v>427.1</v>
      </c>
      <c r="N107" s="1" t="s">
        <v>105</v>
      </c>
      <c r="O107" s="1"/>
      <c r="P107" s="1"/>
      <c r="Q107" t="s">
        <v>51</v>
      </c>
      <c r="R107" t="s">
        <v>35</v>
      </c>
      <c r="T107">
        <v>102</v>
      </c>
      <c r="U107" t="s">
        <v>36</v>
      </c>
    </row>
    <row r="108" spans="1:23" ht="25.05" customHeight="1" x14ac:dyDescent="0.3">
      <c r="A108" s="1">
        <v>16</v>
      </c>
      <c r="B108" s="1" t="s">
        <v>25</v>
      </c>
      <c r="C108" s="7" t="s">
        <v>145</v>
      </c>
      <c r="D108" s="1" t="s">
        <v>146</v>
      </c>
      <c r="E108" s="1" t="s">
        <v>147</v>
      </c>
      <c r="F108" s="1" t="s">
        <v>148</v>
      </c>
      <c r="G108" s="1"/>
      <c r="H108" s="1" t="s">
        <v>149</v>
      </c>
      <c r="I108" s="4" t="s">
        <v>151</v>
      </c>
      <c r="J108" s="4" t="s">
        <v>30</v>
      </c>
      <c r="K108" s="1" t="str">
        <f>CONCATENATE("011010064690","")</f>
        <v>011010064690</v>
      </c>
      <c r="L108" s="1" t="s">
        <v>31</v>
      </c>
      <c r="M108" s="1">
        <v>427.1</v>
      </c>
      <c r="N108" s="1" t="s">
        <v>150</v>
      </c>
      <c r="O108" s="1"/>
      <c r="P108" s="1"/>
      <c r="Q108" t="s">
        <v>51</v>
      </c>
      <c r="R108" t="s">
        <v>35</v>
      </c>
      <c r="T108">
        <v>290</v>
      </c>
      <c r="U108" t="s">
        <v>36</v>
      </c>
    </row>
    <row r="109" spans="1:23" ht="25.05" customHeight="1" x14ac:dyDescent="0.3">
      <c r="A109" s="1">
        <v>2</v>
      </c>
      <c r="B109" s="1" t="s">
        <v>25</v>
      </c>
      <c r="C109" s="7" t="s">
        <v>52</v>
      </c>
      <c r="D109" s="1" t="s">
        <v>53</v>
      </c>
      <c r="E109" s="1" t="s">
        <v>54</v>
      </c>
      <c r="F109" s="1" t="s">
        <v>55</v>
      </c>
      <c r="G109" s="1">
        <v>1994</v>
      </c>
      <c r="H109" s="1" t="s">
        <v>56</v>
      </c>
      <c r="I109" s="4" t="s">
        <v>58</v>
      </c>
      <c r="J109" s="4" t="s">
        <v>30</v>
      </c>
      <c r="K109" s="1" t="str">
        <f>CONCATENATE("011010041581","")</f>
        <v>011010041581</v>
      </c>
      <c r="L109" s="1" t="s">
        <v>31</v>
      </c>
      <c r="M109" s="1">
        <v>427.1</v>
      </c>
      <c r="N109" s="1" t="s">
        <v>57</v>
      </c>
      <c r="O109" s="1">
        <v>1994</v>
      </c>
      <c r="P109" s="1"/>
      <c r="Q109" t="s">
        <v>51</v>
      </c>
      <c r="R109" t="s">
        <v>35</v>
      </c>
      <c r="T109">
        <v>0</v>
      </c>
      <c r="U109" t="s">
        <v>36</v>
      </c>
    </row>
    <row r="110" spans="1:23" ht="25.05" customHeight="1" x14ac:dyDescent="0.3">
      <c r="A110" s="1">
        <v>114</v>
      </c>
      <c r="B110" s="1" t="s">
        <v>25</v>
      </c>
      <c r="C110" s="7" t="s">
        <v>634</v>
      </c>
      <c r="D110" s="1" t="s">
        <v>635</v>
      </c>
      <c r="E110" s="1" t="s">
        <v>636</v>
      </c>
      <c r="F110" s="1">
        <v>2011</v>
      </c>
      <c r="G110" s="1">
        <v>2011</v>
      </c>
      <c r="H110" s="1" t="s">
        <v>637</v>
      </c>
      <c r="I110" s="4" t="s">
        <v>639</v>
      </c>
      <c r="J110" s="4" t="s">
        <v>30</v>
      </c>
      <c r="K110" s="1" t="str">
        <f>CONCATENATE("011010140189","")</f>
        <v>011010140189</v>
      </c>
      <c r="L110" s="1" t="s">
        <v>31</v>
      </c>
      <c r="M110" s="1">
        <v>427.1</v>
      </c>
      <c r="N110" s="1" t="s">
        <v>638</v>
      </c>
      <c r="O110" s="1">
        <v>2011</v>
      </c>
      <c r="P110" s="1"/>
      <c r="Q110" t="s">
        <v>51</v>
      </c>
      <c r="R110" t="s">
        <v>35</v>
      </c>
      <c r="T110">
        <v>133</v>
      </c>
      <c r="U110" t="s">
        <v>36</v>
      </c>
      <c r="W110" t="s">
        <v>580</v>
      </c>
    </row>
    <row r="111" spans="1:23" ht="25.05" customHeight="1" x14ac:dyDescent="0.3">
      <c r="A111" s="1">
        <v>138</v>
      </c>
      <c r="B111" s="1" t="s">
        <v>25</v>
      </c>
      <c r="C111" s="7" t="s">
        <v>773</v>
      </c>
      <c r="D111" s="1" t="s">
        <v>774</v>
      </c>
      <c r="E111" s="1" t="s">
        <v>775</v>
      </c>
      <c r="F111" s="1" t="s">
        <v>715</v>
      </c>
      <c r="G111" s="1">
        <v>2014</v>
      </c>
      <c r="H111" s="1" t="s">
        <v>776</v>
      </c>
      <c r="I111" s="4" t="s">
        <v>778</v>
      </c>
      <c r="J111" s="4" t="s">
        <v>30</v>
      </c>
      <c r="K111" s="1" t="str">
        <f>CONCATENATE("011010150787","")</f>
        <v>011010150787</v>
      </c>
      <c r="L111" s="1" t="s">
        <v>31</v>
      </c>
      <c r="M111" s="1">
        <v>427.1</v>
      </c>
      <c r="N111" s="1" t="s">
        <v>777</v>
      </c>
      <c r="O111" s="1">
        <v>2014</v>
      </c>
      <c r="P111" s="1"/>
      <c r="Q111" t="s">
        <v>51</v>
      </c>
      <c r="R111" t="s">
        <v>35</v>
      </c>
      <c r="T111">
        <v>306</v>
      </c>
      <c r="U111" t="s">
        <v>36</v>
      </c>
      <c r="W111" t="s">
        <v>779</v>
      </c>
    </row>
    <row r="112" spans="1:23" ht="25.05" customHeight="1" x14ac:dyDescent="0.3">
      <c r="A112" s="1">
        <v>166</v>
      </c>
      <c r="B112" s="1" t="s">
        <v>25</v>
      </c>
      <c r="C112" s="7" t="s">
        <v>930</v>
      </c>
      <c r="D112" s="1" t="s">
        <v>931</v>
      </c>
      <c r="E112" s="1" t="s">
        <v>932</v>
      </c>
      <c r="F112" s="1">
        <v>2015.11</v>
      </c>
      <c r="G112" s="1">
        <v>2015</v>
      </c>
      <c r="H112" s="1" t="s">
        <v>933</v>
      </c>
      <c r="I112" s="4" t="s">
        <v>935</v>
      </c>
      <c r="J112" s="4" t="s">
        <v>30</v>
      </c>
      <c r="K112" s="1" t="str">
        <f>CONCATENATE("011010162537","")</f>
        <v>011010162537</v>
      </c>
      <c r="L112" s="1" t="s">
        <v>31</v>
      </c>
      <c r="M112" s="1">
        <v>427.1</v>
      </c>
      <c r="N112" s="1" t="s">
        <v>934</v>
      </c>
      <c r="O112" s="1">
        <v>2015</v>
      </c>
      <c r="P112" s="1"/>
      <c r="Q112" t="s">
        <v>51</v>
      </c>
      <c r="R112" t="s">
        <v>35</v>
      </c>
      <c r="T112">
        <v>227</v>
      </c>
      <c r="U112" t="s">
        <v>36</v>
      </c>
      <c r="W112" t="s">
        <v>936</v>
      </c>
    </row>
    <row r="113" spans="1:23" ht="25.05" customHeight="1" x14ac:dyDescent="0.3">
      <c r="A113" s="1">
        <v>242</v>
      </c>
      <c r="B113" s="1" t="s">
        <v>25</v>
      </c>
      <c r="C113" s="7" t="s">
        <v>1298</v>
      </c>
      <c r="D113" s="1" t="s">
        <v>1299</v>
      </c>
      <c r="E113" s="1" t="s">
        <v>813</v>
      </c>
      <c r="F113" s="1">
        <v>2018</v>
      </c>
      <c r="G113" s="1">
        <v>2018</v>
      </c>
      <c r="H113" s="1" t="s">
        <v>1300</v>
      </c>
      <c r="I113" s="4" t="s">
        <v>1302</v>
      </c>
      <c r="J113" s="4" t="s">
        <v>30</v>
      </c>
      <c r="K113" s="1" t="str">
        <f>CONCATENATE("011010176536","")</f>
        <v>011010176536</v>
      </c>
      <c r="L113" s="1" t="s">
        <v>31</v>
      </c>
      <c r="M113" s="1">
        <v>427.1</v>
      </c>
      <c r="N113" s="1" t="s">
        <v>1301</v>
      </c>
      <c r="O113" s="1">
        <v>2018</v>
      </c>
      <c r="P113" s="1"/>
      <c r="Q113" t="s">
        <v>51</v>
      </c>
      <c r="R113" t="s">
        <v>35</v>
      </c>
      <c r="T113">
        <v>259</v>
      </c>
      <c r="U113" t="s">
        <v>36</v>
      </c>
      <c r="W113" t="s">
        <v>1291</v>
      </c>
    </row>
    <row r="114" spans="1:23" ht="25.05" customHeight="1" x14ac:dyDescent="0.3">
      <c r="A114" s="1">
        <v>197</v>
      </c>
      <c r="B114" s="1" t="s">
        <v>25</v>
      </c>
      <c r="C114" s="7" t="s">
        <v>1093</v>
      </c>
      <c r="D114" s="1" t="s">
        <v>1094</v>
      </c>
      <c r="E114" s="1" t="s">
        <v>1095</v>
      </c>
      <c r="F114" s="1" t="s">
        <v>995</v>
      </c>
      <c r="G114" s="1">
        <v>2016</v>
      </c>
      <c r="H114" s="1" t="s">
        <v>1096</v>
      </c>
      <c r="I114" s="4" t="s">
        <v>1098</v>
      </c>
      <c r="J114" s="4" t="s">
        <v>30</v>
      </c>
      <c r="K114" s="1" t="str">
        <f>CONCATENATE("011010166227","")</f>
        <v>011010166227</v>
      </c>
      <c r="L114" s="1" t="s">
        <v>31</v>
      </c>
      <c r="M114" s="1">
        <v>427.1</v>
      </c>
      <c r="N114" s="1" t="s">
        <v>1097</v>
      </c>
      <c r="O114" s="1">
        <v>2016</v>
      </c>
      <c r="P114" s="1"/>
      <c r="Q114" t="s">
        <v>51</v>
      </c>
      <c r="R114" t="s">
        <v>35</v>
      </c>
      <c r="T114">
        <v>296</v>
      </c>
      <c r="U114" t="s">
        <v>36</v>
      </c>
      <c r="W114" t="s">
        <v>1099</v>
      </c>
    </row>
    <row r="115" spans="1:23" ht="25.05" customHeight="1" x14ac:dyDescent="0.3">
      <c r="A115" s="1">
        <v>32</v>
      </c>
      <c r="B115" s="1" t="s">
        <v>25</v>
      </c>
      <c r="C115" s="7" t="s">
        <v>230</v>
      </c>
      <c r="D115" s="1" t="s">
        <v>231</v>
      </c>
      <c r="E115" s="1" t="s">
        <v>232</v>
      </c>
      <c r="F115" s="1" t="s">
        <v>201</v>
      </c>
      <c r="G115" s="1">
        <v>2006</v>
      </c>
      <c r="H115" s="1" t="s">
        <v>233</v>
      </c>
      <c r="I115" s="4" t="s">
        <v>235</v>
      </c>
      <c r="J115" s="4" t="s">
        <v>30</v>
      </c>
      <c r="K115" s="1" t="str">
        <f>CONCATENATE("011010092268","")</f>
        <v>011010092268</v>
      </c>
      <c r="L115" s="1" t="s">
        <v>31</v>
      </c>
      <c r="M115" s="1">
        <v>427.1</v>
      </c>
      <c r="N115" s="1" t="s">
        <v>234</v>
      </c>
      <c r="O115" s="1">
        <v>2006</v>
      </c>
      <c r="P115" s="1"/>
      <c r="Q115" t="s">
        <v>51</v>
      </c>
      <c r="R115" t="s">
        <v>35</v>
      </c>
      <c r="T115">
        <v>232</v>
      </c>
      <c r="U115" t="s">
        <v>36</v>
      </c>
      <c r="W115" t="s">
        <v>229</v>
      </c>
    </row>
    <row r="116" spans="1:23" ht="25.05" customHeight="1" x14ac:dyDescent="0.3">
      <c r="A116" s="1">
        <v>31</v>
      </c>
      <c r="B116" s="1" t="s">
        <v>25</v>
      </c>
      <c r="C116" s="7" t="s">
        <v>2052</v>
      </c>
      <c r="D116" s="1" t="s">
        <v>2053</v>
      </c>
      <c r="E116" s="1" t="s">
        <v>813</v>
      </c>
      <c r="F116" s="1">
        <v>2019</v>
      </c>
      <c r="G116" s="1">
        <v>2019</v>
      </c>
      <c r="H116" s="1" t="s">
        <v>2054</v>
      </c>
      <c r="I116" s="4" t="s">
        <v>2056</v>
      </c>
      <c r="J116" s="4" t="s">
        <v>30</v>
      </c>
      <c r="K116" s="1" t="str">
        <f>CONCATENATE("011010180299","")</f>
        <v>011010180299</v>
      </c>
      <c r="L116" s="1" t="s">
        <v>31</v>
      </c>
      <c r="M116" s="1">
        <v>427.1</v>
      </c>
      <c r="N116" s="1" t="s">
        <v>2055</v>
      </c>
      <c r="O116" s="1">
        <v>2019</v>
      </c>
      <c r="P116" s="1"/>
      <c r="Q116" t="s">
        <v>34</v>
      </c>
      <c r="R116" t="s">
        <v>35</v>
      </c>
      <c r="T116">
        <v>266</v>
      </c>
      <c r="U116" t="s">
        <v>36</v>
      </c>
      <c r="W116" t="s">
        <v>37</v>
      </c>
    </row>
    <row r="117" spans="1:23" ht="25.05" customHeight="1" x14ac:dyDescent="0.3">
      <c r="A117" s="1">
        <v>22</v>
      </c>
      <c r="B117" s="1" t="s">
        <v>25</v>
      </c>
      <c r="C117" s="7" t="s">
        <v>177</v>
      </c>
      <c r="D117" s="1" t="s">
        <v>178</v>
      </c>
      <c r="E117" s="1" t="s">
        <v>179</v>
      </c>
      <c r="F117" s="1" t="s">
        <v>130</v>
      </c>
      <c r="G117" s="1">
        <v>1999</v>
      </c>
      <c r="H117" s="1" t="s">
        <v>180</v>
      </c>
      <c r="I117" s="4" t="s">
        <v>182</v>
      </c>
      <c r="J117" s="4" t="s">
        <v>30</v>
      </c>
      <c r="K117" s="1" t="str">
        <f>CONCATENATE("011010073695","")</f>
        <v>011010073695</v>
      </c>
      <c r="L117" s="1" t="s">
        <v>31</v>
      </c>
      <c r="M117" s="1">
        <v>427.1</v>
      </c>
      <c r="N117" s="1" t="s">
        <v>181</v>
      </c>
      <c r="O117" s="1"/>
      <c r="P117" s="1"/>
      <c r="Q117" t="s">
        <v>51</v>
      </c>
      <c r="R117" t="s">
        <v>35</v>
      </c>
      <c r="T117">
        <v>401</v>
      </c>
      <c r="U117" t="s">
        <v>36</v>
      </c>
      <c r="W117" t="s">
        <v>176</v>
      </c>
    </row>
    <row r="118" spans="1:23" ht="25.05" customHeight="1" x14ac:dyDescent="0.3">
      <c r="A118" s="1">
        <v>160</v>
      </c>
      <c r="B118" s="1" t="s">
        <v>25</v>
      </c>
      <c r="C118" s="7" t="s">
        <v>898</v>
      </c>
      <c r="D118" s="1"/>
      <c r="E118" s="1" t="s">
        <v>41</v>
      </c>
      <c r="F118" s="1" t="s">
        <v>884</v>
      </c>
      <c r="G118" s="1">
        <v>2015</v>
      </c>
      <c r="H118" s="1" t="s">
        <v>899</v>
      </c>
      <c r="I118" s="4" t="s">
        <v>901</v>
      </c>
      <c r="J118" s="4" t="s">
        <v>30</v>
      </c>
      <c r="K118" s="1" t="str">
        <f>CONCATENATE("011010161277","")</f>
        <v>011010161277</v>
      </c>
      <c r="L118" s="1" t="s">
        <v>31</v>
      </c>
      <c r="M118" s="1">
        <v>427.1</v>
      </c>
      <c r="N118" s="1" t="s">
        <v>900</v>
      </c>
      <c r="O118" s="1">
        <v>2015</v>
      </c>
      <c r="P118" s="1"/>
      <c r="Q118" t="s">
        <v>51</v>
      </c>
      <c r="R118" t="s">
        <v>35</v>
      </c>
      <c r="T118">
        <v>168</v>
      </c>
      <c r="U118" t="s">
        <v>36</v>
      </c>
      <c r="W118" t="s">
        <v>902</v>
      </c>
    </row>
    <row r="119" spans="1:23" ht="25.05" customHeight="1" x14ac:dyDescent="0.3">
      <c r="A119" s="1">
        <v>223</v>
      </c>
      <c r="B119" s="1" t="s">
        <v>25</v>
      </c>
      <c r="C119" s="7" t="s">
        <v>1193</v>
      </c>
      <c r="D119" s="1" t="s">
        <v>1194</v>
      </c>
      <c r="E119" s="1" t="s">
        <v>932</v>
      </c>
      <c r="F119" s="1" t="s">
        <v>1135</v>
      </c>
      <c r="G119" s="1">
        <v>2017</v>
      </c>
      <c r="H119" s="1" t="s">
        <v>1195</v>
      </c>
      <c r="I119" s="4" t="s">
        <v>1197</v>
      </c>
      <c r="J119" s="4" t="s">
        <v>30</v>
      </c>
      <c r="K119" s="1" t="str">
        <f>CONCATENATE("011010174070","")</f>
        <v>011010174070</v>
      </c>
      <c r="L119" s="1" t="s">
        <v>31</v>
      </c>
      <c r="M119" s="1">
        <v>427.1</v>
      </c>
      <c r="N119" s="1" t="s">
        <v>1196</v>
      </c>
      <c r="O119" s="1">
        <v>2017</v>
      </c>
      <c r="P119" s="1"/>
      <c r="Q119" t="s">
        <v>51</v>
      </c>
      <c r="R119" t="s">
        <v>35</v>
      </c>
      <c r="T119">
        <v>319</v>
      </c>
      <c r="U119" t="s">
        <v>36</v>
      </c>
      <c r="W119" t="s">
        <v>1176</v>
      </c>
    </row>
    <row r="120" spans="1:23" ht="25.05" customHeight="1" x14ac:dyDescent="0.3">
      <c r="A120" s="1">
        <v>261</v>
      </c>
      <c r="B120" s="1" t="s">
        <v>25</v>
      </c>
      <c r="C120" s="7" t="s">
        <v>1407</v>
      </c>
      <c r="D120" s="1" t="s">
        <v>1408</v>
      </c>
      <c r="E120" s="1" t="s">
        <v>1409</v>
      </c>
      <c r="F120" s="1">
        <v>2018</v>
      </c>
      <c r="G120" s="1">
        <v>2018</v>
      </c>
      <c r="H120" s="1" t="s">
        <v>1410</v>
      </c>
      <c r="I120" s="4" t="s">
        <v>1412</v>
      </c>
      <c r="J120" s="4" t="s">
        <v>30</v>
      </c>
      <c r="K120" s="1" t="str">
        <f>CONCATENATE("011010179863","")</f>
        <v>011010179863</v>
      </c>
      <c r="L120" s="1" t="s">
        <v>31</v>
      </c>
      <c r="M120" s="1">
        <v>427.1</v>
      </c>
      <c r="N120" s="1" t="s">
        <v>1411</v>
      </c>
      <c r="O120" s="1">
        <v>2018</v>
      </c>
      <c r="P120" s="1"/>
      <c r="Q120" t="s">
        <v>274</v>
      </c>
      <c r="R120" t="s">
        <v>35</v>
      </c>
      <c r="T120">
        <v>339</v>
      </c>
      <c r="U120" t="s">
        <v>36</v>
      </c>
      <c r="W120" t="s">
        <v>1357</v>
      </c>
    </row>
    <row r="121" spans="1:23" ht="25.05" customHeight="1" x14ac:dyDescent="0.3">
      <c r="A121" s="1">
        <v>135</v>
      </c>
      <c r="B121" s="1" t="s">
        <v>25</v>
      </c>
      <c r="C121" s="7" t="s">
        <v>753</v>
      </c>
      <c r="D121" s="1" t="s">
        <v>754</v>
      </c>
      <c r="E121" s="1" t="s">
        <v>755</v>
      </c>
      <c r="F121" s="1" t="s">
        <v>701</v>
      </c>
      <c r="G121" s="1">
        <v>2013</v>
      </c>
      <c r="H121" s="1" t="s">
        <v>756</v>
      </c>
      <c r="I121" s="4" t="s">
        <v>758</v>
      </c>
      <c r="J121" s="4" t="s">
        <v>30</v>
      </c>
      <c r="K121" s="1" t="str">
        <f>CONCATENATE("011010147643","")</f>
        <v>011010147643</v>
      </c>
      <c r="L121" s="1" t="s">
        <v>31</v>
      </c>
      <c r="M121" s="1">
        <v>427.1</v>
      </c>
      <c r="N121" s="1" t="s">
        <v>757</v>
      </c>
      <c r="O121" s="1">
        <v>2013</v>
      </c>
      <c r="P121" s="1"/>
      <c r="Q121" t="s">
        <v>51</v>
      </c>
      <c r="R121" t="s">
        <v>35</v>
      </c>
      <c r="T121">
        <v>217</v>
      </c>
      <c r="U121" t="s">
        <v>36</v>
      </c>
      <c r="W121" t="s">
        <v>759</v>
      </c>
    </row>
    <row r="122" spans="1:23" ht="25.05" customHeight="1" x14ac:dyDescent="0.3">
      <c r="A122" s="1">
        <v>225</v>
      </c>
      <c r="B122" s="1" t="s">
        <v>25</v>
      </c>
      <c r="C122" s="7" t="s">
        <v>1202</v>
      </c>
      <c r="D122" s="1" t="s">
        <v>1203</v>
      </c>
      <c r="E122" s="1" t="s">
        <v>1204</v>
      </c>
      <c r="F122" s="1">
        <v>2017</v>
      </c>
      <c r="G122" s="1">
        <v>2017</v>
      </c>
      <c r="H122" s="1" t="s">
        <v>1205</v>
      </c>
      <c r="I122" s="4" t="s">
        <v>1207</v>
      </c>
      <c r="J122" s="4" t="s">
        <v>30</v>
      </c>
      <c r="K122" s="1" t="str">
        <f>CONCATENATE("011010174089","")</f>
        <v>011010174089</v>
      </c>
      <c r="L122" s="1" t="s">
        <v>31</v>
      </c>
      <c r="M122" s="1">
        <v>427.1</v>
      </c>
      <c r="N122" s="1" t="s">
        <v>1206</v>
      </c>
      <c r="O122" s="1">
        <v>2017</v>
      </c>
      <c r="P122" s="1"/>
      <c r="Q122" t="s">
        <v>51</v>
      </c>
      <c r="R122" t="s">
        <v>35</v>
      </c>
      <c r="T122">
        <v>319</v>
      </c>
      <c r="U122" t="s">
        <v>36</v>
      </c>
      <c r="W122" t="s">
        <v>1176</v>
      </c>
    </row>
    <row r="123" spans="1:23" ht="25.05" customHeight="1" x14ac:dyDescent="0.3">
      <c r="A123" s="1">
        <v>11</v>
      </c>
      <c r="B123" s="1" t="s">
        <v>25</v>
      </c>
      <c r="C123" s="7" t="s">
        <v>2151</v>
      </c>
      <c r="D123" s="1"/>
      <c r="E123" s="1" t="s">
        <v>1184</v>
      </c>
      <c r="F123" s="1">
        <v>2017</v>
      </c>
      <c r="G123" s="1">
        <v>2017</v>
      </c>
      <c r="H123" s="1" t="s">
        <v>2152</v>
      </c>
      <c r="I123" s="4" t="s">
        <v>2154</v>
      </c>
      <c r="J123" s="4" t="s">
        <v>30</v>
      </c>
      <c r="K123" s="1" t="str">
        <f>CONCATENATE("011010174095","")</f>
        <v>011010174095</v>
      </c>
      <c r="L123" s="1" t="s">
        <v>31</v>
      </c>
      <c r="M123" s="1">
        <v>427.1</v>
      </c>
      <c r="N123" s="1" t="s">
        <v>2153</v>
      </c>
      <c r="O123" s="1">
        <v>2017</v>
      </c>
      <c r="P123" s="1"/>
      <c r="Q123" t="s">
        <v>51</v>
      </c>
      <c r="R123" t="s">
        <v>35</v>
      </c>
      <c r="T123">
        <v>200</v>
      </c>
      <c r="U123" t="s">
        <v>36</v>
      </c>
      <c r="W123" t="s">
        <v>1176</v>
      </c>
    </row>
    <row r="124" spans="1:23" ht="25.05" customHeight="1" x14ac:dyDescent="0.3">
      <c r="A124" s="1">
        <v>6</v>
      </c>
      <c r="B124" s="1" t="s">
        <v>25</v>
      </c>
      <c r="C124" s="7" t="s">
        <v>2137</v>
      </c>
      <c r="D124" s="1" t="s">
        <v>2138</v>
      </c>
      <c r="E124" s="1" t="s">
        <v>380</v>
      </c>
      <c r="F124" s="1" t="s">
        <v>715</v>
      </c>
      <c r="G124" s="1">
        <v>2014</v>
      </c>
      <c r="H124" s="1" t="s">
        <v>2139</v>
      </c>
      <c r="I124" s="4" t="s">
        <v>2141</v>
      </c>
      <c r="J124" s="4" t="s">
        <v>30</v>
      </c>
      <c r="K124" s="1" t="str">
        <f>CONCATENATE("011010153851","")</f>
        <v>011010153851</v>
      </c>
      <c r="L124" s="1" t="s">
        <v>31</v>
      </c>
      <c r="M124" s="1">
        <v>427.1</v>
      </c>
      <c r="N124" s="1" t="s">
        <v>2140</v>
      </c>
      <c r="O124" s="1">
        <v>2014</v>
      </c>
      <c r="P124" s="1"/>
      <c r="Q124" t="s">
        <v>51</v>
      </c>
      <c r="R124" t="s">
        <v>35</v>
      </c>
      <c r="T124">
        <v>185</v>
      </c>
      <c r="U124" t="s">
        <v>36</v>
      </c>
      <c r="W124" t="s">
        <v>847</v>
      </c>
    </row>
    <row r="125" spans="1:23" ht="25.05" customHeight="1" x14ac:dyDescent="0.3">
      <c r="A125" s="1">
        <v>226</v>
      </c>
      <c r="B125" s="1" t="s">
        <v>25</v>
      </c>
      <c r="C125" s="7" t="s">
        <v>1208</v>
      </c>
      <c r="D125" s="1" t="s">
        <v>1209</v>
      </c>
      <c r="E125" s="1" t="s">
        <v>1210</v>
      </c>
      <c r="F125" s="1">
        <v>2017</v>
      </c>
      <c r="G125" s="1">
        <v>2017</v>
      </c>
      <c r="H125" s="1" t="s">
        <v>1211</v>
      </c>
      <c r="I125" s="4" t="s">
        <v>1213</v>
      </c>
      <c r="J125" s="4" t="s">
        <v>30</v>
      </c>
      <c r="K125" s="1" t="str">
        <f>CONCATENATE("011010174102","")</f>
        <v>011010174102</v>
      </c>
      <c r="L125" s="1" t="s">
        <v>31</v>
      </c>
      <c r="M125" s="1">
        <v>427.1</v>
      </c>
      <c r="N125" s="1" t="s">
        <v>1212</v>
      </c>
      <c r="O125" s="1">
        <v>2017</v>
      </c>
      <c r="P125" s="1"/>
      <c r="Q125" t="s">
        <v>51</v>
      </c>
      <c r="R125" t="s">
        <v>35</v>
      </c>
      <c r="T125">
        <v>288</v>
      </c>
      <c r="U125" t="s">
        <v>36</v>
      </c>
      <c r="W125" t="s">
        <v>1176</v>
      </c>
    </row>
    <row r="126" spans="1:23" ht="25.05" customHeight="1" x14ac:dyDescent="0.3">
      <c r="A126" s="1">
        <v>227</v>
      </c>
      <c r="B126" s="1" t="s">
        <v>25</v>
      </c>
      <c r="C126" s="7" t="s">
        <v>1214</v>
      </c>
      <c r="D126" s="1" t="s">
        <v>618</v>
      </c>
      <c r="E126" s="1" t="s">
        <v>1172</v>
      </c>
      <c r="F126" s="1">
        <v>2017</v>
      </c>
      <c r="G126" s="1">
        <v>2017</v>
      </c>
      <c r="H126" s="1" t="s">
        <v>1215</v>
      </c>
      <c r="I126" s="4" t="s">
        <v>1217</v>
      </c>
      <c r="J126" s="4" t="s">
        <v>30</v>
      </c>
      <c r="K126" s="1" t="str">
        <f>CONCATENATE("011010174110","")</f>
        <v>011010174110</v>
      </c>
      <c r="L126" s="1" t="s">
        <v>31</v>
      </c>
      <c r="M126" s="1">
        <v>427.1</v>
      </c>
      <c r="N126" s="1" t="s">
        <v>1216</v>
      </c>
      <c r="O126" s="1">
        <v>2017</v>
      </c>
      <c r="P126" s="1"/>
      <c r="Q126" t="s">
        <v>51</v>
      </c>
      <c r="R126" t="s">
        <v>35</v>
      </c>
      <c r="T126">
        <v>256</v>
      </c>
      <c r="U126" t="s">
        <v>36</v>
      </c>
      <c r="W126" t="s">
        <v>1176</v>
      </c>
    </row>
    <row r="127" spans="1:23" ht="25.05" customHeight="1" x14ac:dyDescent="0.3">
      <c r="A127" s="1">
        <v>88</v>
      </c>
      <c r="B127" s="1" t="s">
        <v>25</v>
      </c>
      <c r="C127" s="7" t="s">
        <v>489</v>
      </c>
      <c r="D127" s="1" t="s">
        <v>490</v>
      </c>
      <c r="E127" s="1" t="s">
        <v>443</v>
      </c>
      <c r="F127" s="1" t="s">
        <v>394</v>
      </c>
      <c r="G127" s="1">
        <v>2009</v>
      </c>
      <c r="H127" s="1" t="s">
        <v>491</v>
      </c>
      <c r="I127" s="4" t="s">
        <v>492</v>
      </c>
      <c r="J127" s="4" t="s">
        <v>30</v>
      </c>
      <c r="K127" s="1" t="str">
        <f>CONCATENATE("011010129760","")</f>
        <v>011010129760</v>
      </c>
      <c r="L127" s="1" t="s">
        <v>31</v>
      </c>
      <c r="M127" s="1">
        <v>427.1</v>
      </c>
      <c r="N127" s="1" t="s">
        <v>247</v>
      </c>
      <c r="O127" s="1">
        <v>2009</v>
      </c>
      <c r="P127" s="1"/>
      <c r="Q127" t="s">
        <v>51</v>
      </c>
      <c r="R127" t="s">
        <v>35</v>
      </c>
      <c r="T127">
        <v>187</v>
      </c>
      <c r="U127" t="s">
        <v>36</v>
      </c>
      <c r="W127" t="s">
        <v>493</v>
      </c>
    </row>
    <row r="128" spans="1:23" ht="25.05" customHeight="1" x14ac:dyDescent="0.3">
      <c r="A128" s="1">
        <v>169</v>
      </c>
      <c r="B128" s="1" t="s">
        <v>25</v>
      </c>
      <c r="C128" s="7" t="s">
        <v>947</v>
      </c>
      <c r="D128" s="1" t="s">
        <v>948</v>
      </c>
      <c r="E128" s="1" t="s">
        <v>949</v>
      </c>
      <c r="F128" s="1">
        <v>2015.11</v>
      </c>
      <c r="G128" s="1">
        <v>2015</v>
      </c>
      <c r="H128" s="1" t="s">
        <v>950</v>
      </c>
      <c r="I128" s="4" t="s">
        <v>952</v>
      </c>
      <c r="J128" s="4" t="s">
        <v>30</v>
      </c>
      <c r="K128" s="1" t="str">
        <f>CONCATENATE("011010162549","")</f>
        <v>011010162549</v>
      </c>
      <c r="L128" s="1" t="s">
        <v>31</v>
      </c>
      <c r="M128" s="1">
        <v>427.1</v>
      </c>
      <c r="N128" s="1" t="s">
        <v>951</v>
      </c>
      <c r="O128" s="1">
        <v>2015</v>
      </c>
      <c r="P128" s="1"/>
      <c r="Q128" t="s">
        <v>51</v>
      </c>
      <c r="R128" t="s">
        <v>35</v>
      </c>
      <c r="T128">
        <v>492</v>
      </c>
      <c r="U128" t="s">
        <v>36</v>
      </c>
      <c r="W128" t="s">
        <v>936</v>
      </c>
    </row>
    <row r="129" spans="1:23" ht="25.05" customHeight="1" x14ac:dyDescent="0.3">
      <c r="A129" s="1">
        <v>7</v>
      </c>
      <c r="B129" s="1" t="s">
        <v>25</v>
      </c>
      <c r="C129" s="7" t="s">
        <v>2142</v>
      </c>
      <c r="D129" s="1" t="s">
        <v>2138</v>
      </c>
      <c r="E129" s="1" t="s">
        <v>380</v>
      </c>
      <c r="F129" s="1" t="s">
        <v>701</v>
      </c>
      <c r="G129" s="1">
        <v>2013</v>
      </c>
      <c r="H129" s="1" t="s">
        <v>2143</v>
      </c>
      <c r="I129" s="4" t="s">
        <v>2145</v>
      </c>
      <c r="J129" s="4" t="s">
        <v>30</v>
      </c>
      <c r="K129" s="1" t="str">
        <f>CONCATENATE("011010153852","")</f>
        <v>011010153852</v>
      </c>
      <c r="L129" s="1" t="s">
        <v>31</v>
      </c>
      <c r="M129" s="1">
        <v>427.1</v>
      </c>
      <c r="N129" s="1" t="s">
        <v>2144</v>
      </c>
      <c r="O129" s="1">
        <v>2013</v>
      </c>
      <c r="P129" s="1"/>
      <c r="Q129" t="s">
        <v>51</v>
      </c>
      <c r="R129" t="s">
        <v>35</v>
      </c>
      <c r="T129">
        <v>185</v>
      </c>
      <c r="U129" t="s">
        <v>36</v>
      </c>
      <c r="W129" t="s">
        <v>847</v>
      </c>
    </row>
    <row r="130" spans="1:23" ht="25.05" customHeight="1" x14ac:dyDescent="0.3">
      <c r="A130" s="1">
        <v>168</v>
      </c>
      <c r="B130" s="1" t="s">
        <v>25</v>
      </c>
      <c r="C130" s="7" t="s">
        <v>942</v>
      </c>
      <c r="D130" s="1" t="s">
        <v>943</v>
      </c>
      <c r="E130" s="1" t="s">
        <v>232</v>
      </c>
      <c r="F130" s="1">
        <v>2015.05</v>
      </c>
      <c r="G130" s="1">
        <v>2015</v>
      </c>
      <c r="H130" s="1" t="s">
        <v>944</v>
      </c>
      <c r="I130" s="4" t="s">
        <v>946</v>
      </c>
      <c r="J130" s="4" t="s">
        <v>30</v>
      </c>
      <c r="K130" s="1" t="str">
        <f>CONCATENATE("011010162544","")</f>
        <v>011010162544</v>
      </c>
      <c r="L130" s="1" t="s">
        <v>31</v>
      </c>
      <c r="M130" s="1">
        <v>427.1</v>
      </c>
      <c r="N130" s="1" t="s">
        <v>945</v>
      </c>
      <c r="O130" s="1">
        <v>2015</v>
      </c>
      <c r="P130" s="1"/>
      <c r="Q130" t="s">
        <v>51</v>
      </c>
      <c r="R130" t="s">
        <v>35</v>
      </c>
      <c r="T130">
        <v>227</v>
      </c>
      <c r="U130" t="s">
        <v>36</v>
      </c>
      <c r="W130" t="s">
        <v>936</v>
      </c>
    </row>
    <row r="131" spans="1:23" ht="25.05" customHeight="1" x14ac:dyDescent="0.3">
      <c r="A131" s="1">
        <v>54</v>
      </c>
      <c r="B131" s="1" t="s">
        <v>25</v>
      </c>
      <c r="C131" s="7" t="s">
        <v>330</v>
      </c>
      <c r="D131" s="1" t="s">
        <v>331</v>
      </c>
      <c r="E131" s="1" t="s">
        <v>332</v>
      </c>
      <c r="F131" s="1" t="s">
        <v>307</v>
      </c>
      <c r="G131" s="1">
        <v>2004</v>
      </c>
      <c r="H131" s="1" t="s">
        <v>333</v>
      </c>
      <c r="I131" s="4" t="s">
        <v>335</v>
      </c>
      <c r="J131" s="4" t="s">
        <v>30</v>
      </c>
      <c r="K131" s="1" t="str">
        <f>CONCATENATE("011010107644","")</f>
        <v>011010107644</v>
      </c>
      <c r="L131" s="1" t="s">
        <v>31</v>
      </c>
      <c r="M131" s="1">
        <v>427.1</v>
      </c>
      <c r="N131" s="1" t="s">
        <v>334</v>
      </c>
      <c r="O131" s="1"/>
      <c r="P131" s="1"/>
      <c r="Q131" t="s">
        <v>51</v>
      </c>
      <c r="R131" t="s">
        <v>35</v>
      </c>
      <c r="T131">
        <v>240</v>
      </c>
      <c r="U131" t="s">
        <v>36</v>
      </c>
      <c r="W131" t="s">
        <v>336</v>
      </c>
    </row>
    <row r="132" spans="1:23" ht="25.05" customHeight="1" x14ac:dyDescent="0.3">
      <c r="A132" s="1">
        <v>179</v>
      </c>
      <c r="B132" s="1" t="s">
        <v>25</v>
      </c>
      <c r="C132" s="7" t="s">
        <v>999</v>
      </c>
      <c r="D132" s="1" t="s">
        <v>993</v>
      </c>
      <c r="E132" s="1" t="s">
        <v>1000</v>
      </c>
      <c r="F132" s="1">
        <v>2015</v>
      </c>
      <c r="G132" s="1">
        <v>2015</v>
      </c>
      <c r="H132" s="1" t="s">
        <v>1001</v>
      </c>
      <c r="I132" s="4" t="s">
        <v>1002</v>
      </c>
      <c r="J132" s="4" t="s">
        <v>30</v>
      </c>
      <c r="K132" s="1" t="str">
        <f>CONCATENATE("011010164807","")</f>
        <v>011010164807</v>
      </c>
      <c r="L132" s="1" t="s">
        <v>31</v>
      </c>
      <c r="M132" s="1">
        <v>427.1</v>
      </c>
      <c r="N132" s="1" t="s">
        <v>997</v>
      </c>
      <c r="O132" s="1">
        <v>2015</v>
      </c>
      <c r="P132" s="1"/>
      <c r="Q132" t="s">
        <v>51</v>
      </c>
      <c r="R132" t="s">
        <v>35</v>
      </c>
      <c r="T132">
        <v>193</v>
      </c>
      <c r="U132" t="s">
        <v>36</v>
      </c>
      <c r="W132" t="s">
        <v>991</v>
      </c>
    </row>
    <row r="133" spans="1:23" ht="25.05" customHeight="1" x14ac:dyDescent="0.3">
      <c r="A133" s="1">
        <v>176</v>
      </c>
      <c r="B133" s="1" t="s">
        <v>25</v>
      </c>
      <c r="C133" s="7" t="s">
        <v>980</v>
      </c>
      <c r="D133" s="1" t="s">
        <v>981</v>
      </c>
      <c r="E133" s="1" t="s">
        <v>982</v>
      </c>
      <c r="F133" s="1">
        <v>2015.08</v>
      </c>
      <c r="G133" s="1">
        <v>2015</v>
      </c>
      <c r="H133" s="1" t="s">
        <v>983</v>
      </c>
      <c r="I133" s="4" t="s">
        <v>984</v>
      </c>
      <c r="J133" s="4" t="s">
        <v>30</v>
      </c>
      <c r="K133" s="1" t="str">
        <f>CONCATENATE("011010164272","")</f>
        <v>011010164272</v>
      </c>
      <c r="L133" s="1" t="s">
        <v>31</v>
      </c>
      <c r="M133" s="1">
        <v>427.1</v>
      </c>
      <c r="N133" s="1" t="s">
        <v>730</v>
      </c>
      <c r="O133" s="1">
        <v>2015</v>
      </c>
      <c r="P133" s="1"/>
      <c r="Q133" t="s">
        <v>51</v>
      </c>
      <c r="R133" t="s">
        <v>35</v>
      </c>
      <c r="T133">
        <v>255</v>
      </c>
      <c r="U133" t="s">
        <v>36</v>
      </c>
      <c r="W133" t="s">
        <v>909</v>
      </c>
    </row>
    <row r="134" spans="1:23" ht="25.05" customHeight="1" x14ac:dyDescent="0.3">
      <c r="A134" s="1">
        <v>147</v>
      </c>
      <c r="B134" s="1" t="s">
        <v>25</v>
      </c>
      <c r="C134" s="7" t="s">
        <v>826</v>
      </c>
      <c r="D134" s="1" t="s">
        <v>827</v>
      </c>
      <c r="E134" s="1" t="s">
        <v>828</v>
      </c>
      <c r="F134" s="1" t="s">
        <v>701</v>
      </c>
      <c r="G134" s="1">
        <v>2013</v>
      </c>
      <c r="H134" s="1" t="s">
        <v>829</v>
      </c>
      <c r="I134" s="4" t="s">
        <v>831</v>
      </c>
      <c r="J134" s="4" t="s">
        <v>30</v>
      </c>
      <c r="K134" s="1" t="str">
        <f>CONCATENATE("011010152315","")</f>
        <v>011010152315</v>
      </c>
      <c r="L134" s="1" t="s">
        <v>31</v>
      </c>
      <c r="M134" s="1">
        <v>427.1</v>
      </c>
      <c r="N134" s="1" t="s">
        <v>830</v>
      </c>
      <c r="O134" s="1">
        <v>2013</v>
      </c>
      <c r="P134" s="1"/>
      <c r="Q134" t="s">
        <v>51</v>
      </c>
      <c r="R134" t="s">
        <v>35</v>
      </c>
      <c r="T134">
        <v>224</v>
      </c>
      <c r="U134" t="s">
        <v>36</v>
      </c>
      <c r="W134" t="s">
        <v>759</v>
      </c>
    </row>
    <row r="135" spans="1:23" ht="25.05" customHeight="1" x14ac:dyDescent="0.3">
      <c r="A135" s="1">
        <v>26</v>
      </c>
      <c r="B135" s="1" t="s">
        <v>25</v>
      </c>
      <c r="C135" s="7" t="s">
        <v>195</v>
      </c>
      <c r="D135" s="1"/>
      <c r="E135" s="1" t="s">
        <v>94</v>
      </c>
      <c r="F135" s="1" t="s">
        <v>62</v>
      </c>
      <c r="G135" s="1">
        <v>2005</v>
      </c>
      <c r="H135" s="1"/>
      <c r="I135" s="4" t="s">
        <v>197</v>
      </c>
      <c r="J135" s="4" t="s">
        <v>30</v>
      </c>
      <c r="K135" s="1" t="str">
        <f>CONCATENATE("011010088227","")</f>
        <v>011010088227</v>
      </c>
      <c r="L135" s="1" t="s">
        <v>31</v>
      </c>
      <c r="M135" s="1">
        <v>427.11</v>
      </c>
      <c r="N135" s="1" t="s">
        <v>196</v>
      </c>
      <c r="O135" s="1">
        <v>2005</v>
      </c>
      <c r="P135" s="1"/>
      <c r="Q135" t="s">
        <v>51</v>
      </c>
      <c r="R135" t="s">
        <v>35</v>
      </c>
      <c r="T135">
        <v>177</v>
      </c>
      <c r="U135" t="s">
        <v>36</v>
      </c>
      <c r="W135" t="s">
        <v>198</v>
      </c>
    </row>
    <row r="136" spans="1:23" ht="25.05" customHeight="1" x14ac:dyDescent="0.3">
      <c r="A136" s="1">
        <v>154</v>
      </c>
      <c r="B136" s="1" t="s">
        <v>25</v>
      </c>
      <c r="C136" s="7" t="s">
        <v>860</v>
      </c>
      <c r="D136" s="1" t="s">
        <v>861</v>
      </c>
      <c r="E136" s="1" t="s">
        <v>677</v>
      </c>
      <c r="F136" s="1" t="s">
        <v>374</v>
      </c>
      <c r="G136" s="1">
        <v>2010</v>
      </c>
      <c r="H136" s="1" t="s">
        <v>862</v>
      </c>
      <c r="I136" s="4" t="s">
        <v>864</v>
      </c>
      <c r="J136" s="4" t="s">
        <v>30</v>
      </c>
      <c r="K136" s="1" t="str">
        <f>CONCATENATE("011010155866","")</f>
        <v>011010155866</v>
      </c>
      <c r="L136" s="1" t="s">
        <v>31</v>
      </c>
      <c r="M136" s="1">
        <v>427.11</v>
      </c>
      <c r="N136" s="1" t="s">
        <v>863</v>
      </c>
      <c r="O136" s="1">
        <v>2010</v>
      </c>
      <c r="P136" s="1"/>
      <c r="Q136" t="s">
        <v>51</v>
      </c>
      <c r="R136" t="s">
        <v>35</v>
      </c>
      <c r="T136">
        <v>243</v>
      </c>
      <c r="U136" t="s">
        <v>36</v>
      </c>
      <c r="W136" t="s">
        <v>865</v>
      </c>
    </row>
    <row r="137" spans="1:23" ht="25.05" customHeight="1" x14ac:dyDescent="0.3">
      <c r="A137" s="1">
        <v>27</v>
      </c>
      <c r="B137" s="1" t="s">
        <v>25</v>
      </c>
      <c r="C137" s="7" t="s">
        <v>199</v>
      </c>
      <c r="D137" s="1" t="s">
        <v>200</v>
      </c>
      <c r="E137" s="1" t="s">
        <v>154</v>
      </c>
      <c r="F137" s="1" t="s">
        <v>201</v>
      </c>
      <c r="G137" s="1">
        <v>2006</v>
      </c>
      <c r="H137" s="1" t="s">
        <v>202</v>
      </c>
      <c r="I137" s="4" t="s">
        <v>204</v>
      </c>
      <c r="J137" s="4" t="s">
        <v>30</v>
      </c>
      <c r="K137" s="1" t="str">
        <f>CONCATENATE("011010088289","")</f>
        <v>011010088289</v>
      </c>
      <c r="L137" s="1" t="s">
        <v>31</v>
      </c>
      <c r="M137" s="1">
        <v>427.11</v>
      </c>
      <c r="N137" s="1" t="s">
        <v>203</v>
      </c>
      <c r="O137" s="1">
        <v>2006</v>
      </c>
      <c r="P137" s="1"/>
      <c r="Q137" t="s">
        <v>51</v>
      </c>
      <c r="R137" t="s">
        <v>35</v>
      </c>
      <c r="T137">
        <v>312</v>
      </c>
      <c r="U137" t="s">
        <v>36</v>
      </c>
      <c r="W137" t="s">
        <v>198</v>
      </c>
    </row>
    <row r="138" spans="1:23" ht="25.05" customHeight="1" x14ac:dyDescent="0.3">
      <c r="A138" s="1">
        <v>208</v>
      </c>
      <c r="B138" s="1" t="s">
        <v>25</v>
      </c>
      <c r="C138" s="7" t="s">
        <v>1156</v>
      </c>
      <c r="D138" s="1" t="s">
        <v>1157</v>
      </c>
      <c r="E138" s="1" t="s">
        <v>1158</v>
      </c>
      <c r="F138" s="1">
        <v>2016</v>
      </c>
      <c r="G138" s="1">
        <v>2016</v>
      </c>
      <c r="H138" s="1" t="s">
        <v>1159</v>
      </c>
      <c r="I138" s="4" t="s">
        <v>1161</v>
      </c>
      <c r="J138" s="4" t="s">
        <v>30</v>
      </c>
      <c r="K138" s="1" t="str">
        <f>CONCATENATE("011010173226","")</f>
        <v>011010173226</v>
      </c>
      <c r="L138" s="1" t="s">
        <v>31</v>
      </c>
      <c r="M138" s="1">
        <v>427.11</v>
      </c>
      <c r="N138" s="1" t="s">
        <v>1160</v>
      </c>
      <c r="O138" s="1">
        <v>2016</v>
      </c>
      <c r="P138" s="1"/>
      <c r="Q138" t="s">
        <v>51</v>
      </c>
      <c r="R138" t="s">
        <v>35</v>
      </c>
      <c r="T138">
        <v>292</v>
      </c>
      <c r="U138" t="s">
        <v>36</v>
      </c>
      <c r="W138" t="s">
        <v>1149</v>
      </c>
    </row>
    <row r="139" spans="1:23" ht="25.05" customHeight="1" x14ac:dyDescent="0.3">
      <c r="A139" s="1">
        <v>31</v>
      </c>
      <c r="B139" s="1" t="s">
        <v>25</v>
      </c>
      <c r="C139" s="7" t="s">
        <v>223</v>
      </c>
      <c r="D139" s="1"/>
      <c r="E139" s="1" t="s">
        <v>224</v>
      </c>
      <c r="F139" s="1" t="s">
        <v>225</v>
      </c>
      <c r="G139" s="1">
        <v>2007</v>
      </c>
      <c r="H139" s="1" t="s">
        <v>226</v>
      </c>
      <c r="I139" s="4" t="s">
        <v>228</v>
      </c>
      <c r="J139" s="4" t="s">
        <v>30</v>
      </c>
      <c r="K139" s="1" t="str">
        <f>CONCATENATE("011010092191","")</f>
        <v>011010092191</v>
      </c>
      <c r="L139" s="1" t="s">
        <v>31</v>
      </c>
      <c r="M139" s="1">
        <v>427.11</v>
      </c>
      <c r="N139" s="1" t="s">
        <v>227</v>
      </c>
      <c r="O139" s="1">
        <v>2007</v>
      </c>
      <c r="P139" s="1"/>
      <c r="Q139" t="s">
        <v>51</v>
      </c>
      <c r="R139" t="s">
        <v>35</v>
      </c>
      <c r="T139">
        <v>208</v>
      </c>
      <c r="U139" t="s">
        <v>36</v>
      </c>
      <c r="W139" t="s">
        <v>229</v>
      </c>
    </row>
    <row r="140" spans="1:23" ht="25.05" customHeight="1" x14ac:dyDescent="0.3">
      <c r="A140" s="1">
        <v>25</v>
      </c>
      <c r="B140" s="1" t="s">
        <v>25</v>
      </c>
      <c r="C140" s="7" t="s">
        <v>190</v>
      </c>
      <c r="D140" s="1" t="s">
        <v>165</v>
      </c>
      <c r="E140" s="1" t="s">
        <v>166</v>
      </c>
      <c r="F140" s="1" t="s">
        <v>130</v>
      </c>
      <c r="G140" s="1">
        <v>1999</v>
      </c>
      <c r="H140" s="1" t="s">
        <v>191</v>
      </c>
      <c r="I140" s="4" t="s">
        <v>193</v>
      </c>
      <c r="J140" s="4" t="s">
        <v>30</v>
      </c>
      <c r="K140" s="1" t="str">
        <f>CONCATENATE("011010078150","")</f>
        <v>011010078150</v>
      </c>
      <c r="L140" s="1" t="s">
        <v>31</v>
      </c>
      <c r="M140" s="1">
        <v>427.11</v>
      </c>
      <c r="N140" s="1" t="s">
        <v>192</v>
      </c>
      <c r="O140" s="1"/>
      <c r="P140" s="1"/>
      <c r="Q140" t="s">
        <v>51</v>
      </c>
      <c r="R140" t="s">
        <v>35</v>
      </c>
      <c r="T140">
        <v>280</v>
      </c>
      <c r="U140" t="s">
        <v>36</v>
      </c>
      <c r="W140" t="s">
        <v>194</v>
      </c>
    </row>
    <row r="141" spans="1:23" ht="25.05" customHeight="1" x14ac:dyDescent="0.3">
      <c r="A141" s="1">
        <v>15</v>
      </c>
      <c r="B141" s="1" t="s">
        <v>25</v>
      </c>
      <c r="C141" s="7" t="s">
        <v>139</v>
      </c>
      <c r="D141" s="1" t="s">
        <v>140</v>
      </c>
      <c r="E141" s="1" t="s">
        <v>141</v>
      </c>
      <c r="F141" s="1" t="s">
        <v>130</v>
      </c>
      <c r="G141" s="1">
        <v>1999</v>
      </c>
      <c r="H141" s="1" t="s">
        <v>142</v>
      </c>
      <c r="I141" s="4" t="s">
        <v>144</v>
      </c>
      <c r="J141" s="4" t="s">
        <v>30</v>
      </c>
      <c r="K141" s="1" t="str">
        <f>CONCATENATE("011010064099","")</f>
        <v>011010064099</v>
      </c>
      <c r="L141" s="1" t="s">
        <v>31</v>
      </c>
      <c r="M141" s="1">
        <v>427.11</v>
      </c>
      <c r="N141" s="1" t="s">
        <v>143</v>
      </c>
      <c r="O141" s="1"/>
      <c r="P141" s="1"/>
      <c r="Q141" t="s">
        <v>51</v>
      </c>
      <c r="R141" t="s">
        <v>35</v>
      </c>
      <c r="T141">
        <v>200</v>
      </c>
      <c r="U141" t="s">
        <v>36</v>
      </c>
    </row>
    <row r="142" spans="1:23" ht="25.05" customHeight="1" x14ac:dyDescent="0.3">
      <c r="A142" s="1">
        <v>34</v>
      </c>
      <c r="B142" s="1" t="s">
        <v>25</v>
      </c>
      <c r="C142" s="7" t="s">
        <v>237</v>
      </c>
      <c r="D142" s="1" t="s">
        <v>238</v>
      </c>
      <c r="E142" s="1" t="s">
        <v>239</v>
      </c>
      <c r="F142" s="1" t="s">
        <v>225</v>
      </c>
      <c r="G142" s="1">
        <v>2007</v>
      </c>
      <c r="H142" s="1" t="s">
        <v>240</v>
      </c>
      <c r="I142" s="4" t="s">
        <v>242</v>
      </c>
      <c r="J142" s="4" t="s">
        <v>30</v>
      </c>
      <c r="K142" s="1" t="str">
        <f>CONCATENATE("011010092565","")</f>
        <v>011010092565</v>
      </c>
      <c r="L142" s="1" t="s">
        <v>31</v>
      </c>
      <c r="M142" s="1">
        <v>427.11</v>
      </c>
      <c r="N142" s="1" t="s">
        <v>241</v>
      </c>
      <c r="O142" s="1">
        <v>2007</v>
      </c>
      <c r="P142" s="1"/>
      <c r="Q142" t="s">
        <v>51</v>
      </c>
      <c r="R142" t="s">
        <v>35</v>
      </c>
      <c r="T142">
        <v>125</v>
      </c>
      <c r="U142" t="s">
        <v>36</v>
      </c>
      <c r="W142" t="s">
        <v>229</v>
      </c>
    </row>
    <row r="143" spans="1:23" ht="25.05" customHeight="1" x14ac:dyDescent="0.3">
      <c r="A143" s="1">
        <v>19</v>
      </c>
      <c r="B143" s="1" t="s">
        <v>25</v>
      </c>
      <c r="C143" s="7" t="s">
        <v>164</v>
      </c>
      <c r="D143" s="1" t="s">
        <v>165</v>
      </c>
      <c r="E143" s="1" t="s">
        <v>166</v>
      </c>
      <c r="F143" s="1" t="s">
        <v>167</v>
      </c>
      <c r="G143" s="1">
        <v>2002</v>
      </c>
      <c r="H143" s="1" t="s">
        <v>168</v>
      </c>
      <c r="I143" s="4" t="s">
        <v>169</v>
      </c>
      <c r="J143" s="4" t="s">
        <v>30</v>
      </c>
      <c r="K143" s="1" t="str">
        <f>CONCATENATE("011010071341","")</f>
        <v>011010071341</v>
      </c>
      <c r="L143" s="1" t="s">
        <v>31</v>
      </c>
      <c r="M143" s="1">
        <v>427.11</v>
      </c>
      <c r="N143" s="1" t="s">
        <v>162</v>
      </c>
      <c r="O143" s="1"/>
      <c r="P143" s="1"/>
      <c r="Q143" t="s">
        <v>51</v>
      </c>
      <c r="R143" t="s">
        <v>35</v>
      </c>
      <c r="T143">
        <v>149</v>
      </c>
      <c r="U143" t="s">
        <v>36</v>
      </c>
      <c r="W143" t="s">
        <v>158</v>
      </c>
    </row>
    <row r="144" spans="1:23" ht="25.05" customHeight="1" x14ac:dyDescent="0.3">
      <c r="A144" s="1">
        <v>43</v>
      </c>
      <c r="B144" s="1" t="s">
        <v>25</v>
      </c>
      <c r="C144" s="7" t="s">
        <v>282</v>
      </c>
      <c r="D144" s="1" t="s">
        <v>68</v>
      </c>
      <c r="E144" s="1" t="s">
        <v>69</v>
      </c>
      <c r="F144" s="1" t="s">
        <v>62</v>
      </c>
      <c r="G144" s="1">
        <v>2005</v>
      </c>
      <c r="H144" s="1" t="s">
        <v>283</v>
      </c>
      <c r="I144" s="4" t="s">
        <v>284</v>
      </c>
      <c r="J144" s="4" t="s">
        <v>30</v>
      </c>
      <c r="K144" s="1" t="str">
        <f>CONCATENATE("011010099068","")</f>
        <v>011010099068</v>
      </c>
      <c r="L144" s="1" t="s">
        <v>31</v>
      </c>
      <c r="M144" s="1">
        <v>427.11</v>
      </c>
      <c r="N144" s="1" t="s">
        <v>71</v>
      </c>
      <c r="O144" s="1">
        <v>2005</v>
      </c>
      <c r="P144" s="1"/>
      <c r="Q144" t="s">
        <v>51</v>
      </c>
      <c r="R144" t="s">
        <v>35</v>
      </c>
      <c r="T144">
        <v>200</v>
      </c>
      <c r="U144" t="s">
        <v>36</v>
      </c>
      <c r="W144" t="s">
        <v>281</v>
      </c>
    </row>
    <row r="145" spans="1:23" ht="25.05" customHeight="1" x14ac:dyDescent="0.3">
      <c r="A145" s="1">
        <v>11</v>
      </c>
      <c r="B145" s="1" t="s">
        <v>25</v>
      </c>
      <c r="C145" s="7" t="s">
        <v>115</v>
      </c>
      <c r="D145" s="1" t="s">
        <v>116</v>
      </c>
      <c r="E145" s="1" t="s">
        <v>117</v>
      </c>
      <c r="F145" s="1" t="s">
        <v>118</v>
      </c>
      <c r="G145" s="1">
        <v>1998</v>
      </c>
      <c r="H145" s="1" t="s">
        <v>119</v>
      </c>
      <c r="I145" s="4" t="s">
        <v>121</v>
      </c>
      <c r="J145" s="4" t="s">
        <v>30</v>
      </c>
      <c r="K145" s="1" t="str">
        <f>CONCATENATE("011010060672","")</f>
        <v>011010060672</v>
      </c>
      <c r="L145" s="1" t="s">
        <v>31</v>
      </c>
      <c r="M145" s="1">
        <v>427.11</v>
      </c>
      <c r="N145" s="1" t="s">
        <v>120</v>
      </c>
      <c r="O145" s="1"/>
      <c r="P145" s="1"/>
      <c r="Q145" t="s">
        <v>51</v>
      </c>
      <c r="R145" t="s">
        <v>35</v>
      </c>
      <c r="T145">
        <v>280</v>
      </c>
      <c r="U145" t="s">
        <v>36</v>
      </c>
    </row>
    <row r="146" spans="1:23" ht="25.05" customHeight="1" x14ac:dyDescent="0.3">
      <c r="A146" s="1">
        <v>13</v>
      </c>
      <c r="B146" s="1" t="s">
        <v>25</v>
      </c>
      <c r="C146" s="7" t="s">
        <v>128</v>
      </c>
      <c r="D146" s="1" t="s">
        <v>129</v>
      </c>
      <c r="E146" s="1" t="s">
        <v>69</v>
      </c>
      <c r="F146" s="1" t="s">
        <v>130</v>
      </c>
      <c r="G146" s="1"/>
      <c r="H146" s="1" t="s">
        <v>131</v>
      </c>
      <c r="I146" s="4" t="s">
        <v>133</v>
      </c>
      <c r="J146" s="4" t="s">
        <v>30</v>
      </c>
      <c r="K146" s="1" t="str">
        <f>CONCATENATE("011010063738","")</f>
        <v>011010063738</v>
      </c>
      <c r="L146" s="1" t="s">
        <v>31</v>
      </c>
      <c r="M146" s="1">
        <v>427.11</v>
      </c>
      <c r="N146" s="1" t="s">
        <v>132</v>
      </c>
      <c r="O146" s="1"/>
      <c r="P146" s="1"/>
      <c r="Q146" t="s">
        <v>51</v>
      </c>
      <c r="R146" t="s">
        <v>35</v>
      </c>
      <c r="T146">
        <v>160</v>
      </c>
      <c r="U146" t="s">
        <v>36</v>
      </c>
    </row>
    <row r="147" spans="1:23" ht="25.05" customHeight="1" x14ac:dyDescent="0.3">
      <c r="A147" s="1">
        <v>206</v>
      </c>
      <c r="B147" s="1" t="s">
        <v>25</v>
      </c>
      <c r="C147" s="7" t="s">
        <v>1144</v>
      </c>
      <c r="D147" s="1" t="s">
        <v>1145</v>
      </c>
      <c r="E147" s="1" t="s">
        <v>1146</v>
      </c>
      <c r="F147" s="1">
        <v>2017</v>
      </c>
      <c r="G147" s="1">
        <v>2017</v>
      </c>
      <c r="H147" s="1" t="s">
        <v>1147</v>
      </c>
      <c r="I147" s="4" t="s">
        <v>1148</v>
      </c>
      <c r="J147" s="4" t="s">
        <v>30</v>
      </c>
      <c r="K147" s="1" t="str">
        <f>CONCATENATE("011010173059","")</f>
        <v>011010173059</v>
      </c>
      <c r="L147" s="1" t="s">
        <v>31</v>
      </c>
      <c r="M147" s="1">
        <v>427.11270000000002</v>
      </c>
      <c r="N147" s="1" t="s">
        <v>505</v>
      </c>
      <c r="O147" s="1">
        <v>2017</v>
      </c>
      <c r="P147" s="1"/>
      <c r="Q147" t="s">
        <v>51</v>
      </c>
      <c r="R147" t="s">
        <v>35</v>
      </c>
      <c r="T147">
        <v>228</v>
      </c>
      <c r="U147" t="s">
        <v>36</v>
      </c>
      <c r="W147" t="s">
        <v>1149</v>
      </c>
    </row>
    <row r="148" spans="1:23" ht="25.05" customHeight="1" x14ac:dyDescent="0.3">
      <c r="A148" s="1">
        <v>78</v>
      </c>
      <c r="B148" s="1" t="s">
        <v>25</v>
      </c>
      <c r="C148" s="7" t="s">
        <v>434</v>
      </c>
      <c r="D148" s="1" t="s">
        <v>435</v>
      </c>
      <c r="E148" s="1" t="s">
        <v>436</v>
      </c>
      <c r="F148" s="1" t="s">
        <v>374</v>
      </c>
      <c r="G148" s="1">
        <v>2010</v>
      </c>
      <c r="H148" s="1" t="s">
        <v>437</v>
      </c>
      <c r="I148" s="4" t="s">
        <v>439</v>
      </c>
      <c r="J148" s="4" t="s">
        <v>30</v>
      </c>
      <c r="K148" s="1" t="str">
        <f>CONCATENATE("011010127327","")</f>
        <v>011010127327</v>
      </c>
      <c r="L148" s="1" t="s">
        <v>31</v>
      </c>
      <c r="M148" s="1">
        <v>427.12</v>
      </c>
      <c r="N148" s="1" t="s">
        <v>438</v>
      </c>
      <c r="O148" s="1">
        <v>2010</v>
      </c>
      <c r="P148" s="1"/>
      <c r="Q148" t="s">
        <v>51</v>
      </c>
      <c r="R148" t="s">
        <v>35</v>
      </c>
      <c r="T148">
        <v>224</v>
      </c>
      <c r="U148" t="s">
        <v>36</v>
      </c>
      <c r="W148" t="s">
        <v>440</v>
      </c>
    </row>
    <row r="149" spans="1:23" ht="25.05" customHeight="1" x14ac:dyDescent="0.3">
      <c r="A149" s="1">
        <v>99</v>
      </c>
      <c r="B149" s="1" t="s">
        <v>25</v>
      </c>
      <c r="C149" s="7" t="s">
        <v>552</v>
      </c>
      <c r="D149" s="1" t="s">
        <v>435</v>
      </c>
      <c r="E149" s="1" t="s">
        <v>436</v>
      </c>
      <c r="F149" s="1">
        <v>2011</v>
      </c>
      <c r="G149" s="1">
        <v>2011</v>
      </c>
      <c r="H149" s="1" t="s">
        <v>553</v>
      </c>
      <c r="I149" s="4" t="s">
        <v>555</v>
      </c>
      <c r="J149" s="4" t="s">
        <v>30</v>
      </c>
      <c r="K149" s="1" t="str">
        <f>CONCATENATE("011010135352","")</f>
        <v>011010135352</v>
      </c>
      <c r="L149" s="1" t="s">
        <v>31</v>
      </c>
      <c r="M149" s="1">
        <v>427.12</v>
      </c>
      <c r="N149" s="1" t="s">
        <v>554</v>
      </c>
      <c r="O149" s="1">
        <v>2011</v>
      </c>
      <c r="P149" s="1"/>
      <c r="Q149" t="s">
        <v>51</v>
      </c>
      <c r="R149" t="s">
        <v>35</v>
      </c>
      <c r="T149">
        <v>252</v>
      </c>
      <c r="U149" t="s">
        <v>36</v>
      </c>
      <c r="W149" t="s">
        <v>551</v>
      </c>
    </row>
    <row r="150" spans="1:23" ht="25.05" customHeight="1" x14ac:dyDescent="0.3">
      <c r="A150" s="1">
        <v>256</v>
      </c>
      <c r="B150" s="1" t="s">
        <v>25</v>
      </c>
      <c r="C150" s="7" t="s">
        <v>1380</v>
      </c>
      <c r="D150" s="1" t="s">
        <v>1381</v>
      </c>
      <c r="E150" s="1" t="s">
        <v>1382</v>
      </c>
      <c r="F150" s="1">
        <v>2018</v>
      </c>
      <c r="G150" s="1">
        <v>2018</v>
      </c>
      <c r="H150" s="1" t="s">
        <v>1383</v>
      </c>
      <c r="I150" s="4" t="s">
        <v>1384</v>
      </c>
      <c r="J150" s="4" t="s">
        <v>30</v>
      </c>
      <c r="K150" s="1" t="str">
        <f>CONCATENATE("011010179310","")</f>
        <v>011010179310</v>
      </c>
      <c r="L150" s="1" t="s">
        <v>31</v>
      </c>
      <c r="M150" s="1">
        <v>427.12</v>
      </c>
      <c r="N150" s="1" t="s">
        <v>451</v>
      </c>
      <c r="O150" s="1">
        <v>2018</v>
      </c>
      <c r="P150" s="1"/>
      <c r="Q150" t="s">
        <v>51</v>
      </c>
      <c r="R150" t="s">
        <v>35</v>
      </c>
      <c r="T150">
        <v>247</v>
      </c>
      <c r="U150" t="s">
        <v>36</v>
      </c>
      <c r="W150" t="s">
        <v>1357</v>
      </c>
    </row>
    <row r="151" spans="1:23" ht="25.05" customHeight="1" x14ac:dyDescent="0.3">
      <c r="A151" s="1">
        <v>89</v>
      </c>
      <c r="B151" s="1" t="s">
        <v>25</v>
      </c>
      <c r="C151" s="7" t="s">
        <v>494</v>
      </c>
      <c r="D151" s="1" t="s">
        <v>495</v>
      </c>
      <c r="E151" s="1" t="s">
        <v>496</v>
      </c>
      <c r="F151" s="1">
        <v>2010</v>
      </c>
      <c r="G151" s="1">
        <v>2010</v>
      </c>
      <c r="H151" s="1" t="s">
        <v>497</v>
      </c>
      <c r="I151" s="4" t="s">
        <v>499</v>
      </c>
      <c r="J151" s="4" t="s">
        <v>30</v>
      </c>
      <c r="K151" s="1" t="str">
        <f>CONCATENATE("011010133271","")</f>
        <v>011010133271</v>
      </c>
      <c r="L151" s="1" t="s">
        <v>31</v>
      </c>
      <c r="M151" s="1">
        <v>427.12</v>
      </c>
      <c r="N151" s="1" t="s">
        <v>498</v>
      </c>
      <c r="O151" s="1">
        <v>2010</v>
      </c>
      <c r="P151" s="1"/>
      <c r="Q151" t="s">
        <v>51</v>
      </c>
      <c r="R151" t="s">
        <v>35</v>
      </c>
      <c r="T151">
        <v>237</v>
      </c>
      <c r="U151" t="s">
        <v>36</v>
      </c>
      <c r="W151" t="s">
        <v>500</v>
      </c>
    </row>
    <row r="152" spans="1:23" ht="25.05" customHeight="1" x14ac:dyDescent="0.3">
      <c r="A152" s="1">
        <v>117</v>
      </c>
      <c r="B152" s="1" t="s">
        <v>25</v>
      </c>
      <c r="C152" s="7" t="s">
        <v>650</v>
      </c>
      <c r="D152" s="1" t="s">
        <v>651</v>
      </c>
      <c r="E152" s="1" t="s">
        <v>652</v>
      </c>
      <c r="F152" s="1">
        <v>2012</v>
      </c>
      <c r="G152" s="1">
        <v>2012</v>
      </c>
      <c r="H152" s="1" t="s">
        <v>653</v>
      </c>
      <c r="I152" s="4" t="s">
        <v>655</v>
      </c>
      <c r="J152" s="4" t="s">
        <v>30</v>
      </c>
      <c r="K152" s="1" t="str">
        <f>CONCATENATE("011010141127","")</f>
        <v>011010141127</v>
      </c>
      <c r="L152" s="1" t="s">
        <v>31</v>
      </c>
      <c r="M152" s="1">
        <v>427.12</v>
      </c>
      <c r="N152" s="1" t="s">
        <v>654</v>
      </c>
      <c r="O152" s="1">
        <v>2012</v>
      </c>
      <c r="P152" s="1"/>
      <c r="Q152" t="s">
        <v>51</v>
      </c>
      <c r="R152" t="s">
        <v>35</v>
      </c>
      <c r="T152">
        <v>207</v>
      </c>
      <c r="U152" t="s">
        <v>36</v>
      </c>
      <c r="W152" t="s">
        <v>656</v>
      </c>
    </row>
    <row r="153" spans="1:23" ht="25.05" customHeight="1" x14ac:dyDescent="0.3">
      <c r="A153" s="1">
        <v>258</v>
      </c>
      <c r="B153" s="1" t="s">
        <v>25</v>
      </c>
      <c r="C153" s="7" t="s">
        <v>1391</v>
      </c>
      <c r="D153" s="1" t="s">
        <v>1392</v>
      </c>
      <c r="E153" s="1" t="s">
        <v>1393</v>
      </c>
      <c r="F153" s="1">
        <v>2019</v>
      </c>
      <c r="G153" s="1">
        <v>2019</v>
      </c>
      <c r="H153" s="1" t="s">
        <v>1394</v>
      </c>
      <c r="I153" s="4" t="s">
        <v>1396</v>
      </c>
      <c r="J153" s="4" t="s">
        <v>30</v>
      </c>
      <c r="K153" s="1" t="str">
        <f>CONCATENATE("011010179563","")</f>
        <v>011010179563</v>
      </c>
      <c r="L153" s="1" t="s">
        <v>31</v>
      </c>
      <c r="M153" s="1">
        <v>427.12</v>
      </c>
      <c r="N153" s="1" t="s">
        <v>1395</v>
      </c>
      <c r="O153" s="1">
        <v>2019</v>
      </c>
      <c r="P153" s="1"/>
      <c r="Q153" t="s">
        <v>51</v>
      </c>
      <c r="R153" t="s">
        <v>35</v>
      </c>
      <c r="T153">
        <v>226</v>
      </c>
      <c r="U153" t="s">
        <v>36</v>
      </c>
      <c r="W153" t="s">
        <v>1357</v>
      </c>
    </row>
    <row r="154" spans="1:23" ht="25.05" customHeight="1" x14ac:dyDescent="0.3">
      <c r="A154" s="1">
        <v>220</v>
      </c>
      <c r="B154" s="1" t="s">
        <v>25</v>
      </c>
      <c r="C154" s="7" t="s">
        <v>1177</v>
      </c>
      <c r="D154" s="1" t="s">
        <v>1178</v>
      </c>
      <c r="E154" s="1" t="s">
        <v>1179</v>
      </c>
      <c r="F154" s="1" t="s">
        <v>1135</v>
      </c>
      <c r="G154" s="1">
        <v>2017</v>
      </c>
      <c r="H154" s="1" t="s">
        <v>1180</v>
      </c>
      <c r="I154" s="4" t="s">
        <v>1181</v>
      </c>
      <c r="J154" s="4" t="s">
        <v>30</v>
      </c>
      <c r="K154" s="1" t="str">
        <f>CONCATENATE("011010173934","")</f>
        <v>011010173934</v>
      </c>
      <c r="L154" s="1" t="s">
        <v>31</v>
      </c>
      <c r="M154" s="1">
        <v>427.12</v>
      </c>
      <c r="N154" s="1" t="s">
        <v>783</v>
      </c>
      <c r="O154" s="1">
        <v>2017</v>
      </c>
      <c r="P154" s="1"/>
      <c r="Q154" t="s">
        <v>51</v>
      </c>
      <c r="R154" t="s">
        <v>35</v>
      </c>
      <c r="T154">
        <v>336</v>
      </c>
      <c r="U154" t="s">
        <v>36</v>
      </c>
      <c r="W154" t="s">
        <v>1176</v>
      </c>
    </row>
    <row r="155" spans="1:23" ht="25.05" customHeight="1" x14ac:dyDescent="0.3">
      <c r="A155" s="1">
        <v>39</v>
      </c>
      <c r="B155" s="1" t="s">
        <v>25</v>
      </c>
      <c r="C155" s="7" t="s">
        <v>269</v>
      </c>
      <c r="D155" s="1" t="s">
        <v>270</v>
      </c>
      <c r="E155" s="1" t="s">
        <v>232</v>
      </c>
      <c r="F155" s="1" t="s">
        <v>259</v>
      </c>
      <c r="G155" s="1">
        <v>2008</v>
      </c>
      <c r="H155" s="1" t="s">
        <v>271</v>
      </c>
      <c r="I155" s="4" t="s">
        <v>273</v>
      </c>
      <c r="J155" s="4" t="s">
        <v>30</v>
      </c>
      <c r="K155" s="1" t="str">
        <f>CONCATENATE("011010095479","")</f>
        <v>011010095479</v>
      </c>
      <c r="L155" s="1" t="s">
        <v>31</v>
      </c>
      <c r="M155" s="1">
        <v>427.12</v>
      </c>
      <c r="N155" s="1" t="s">
        <v>272</v>
      </c>
      <c r="O155" s="1">
        <v>2008</v>
      </c>
      <c r="P155" s="1"/>
      <c r="Q155" t="s">
        <v>51</v>
      </c>
      <c r="R155" t="s">
        <v>35</v>
      </c>
      <c r="T155">
        <v>224</v>
      </c>
      <c r="U155" t="s">
        <v>36</v>
      </c>
      <c r="W155" t="s">
        <v>263</v>
      </c>
    </row>
    <row r="156" spans="1:23" ht="25.05" customHeight="1" x14ac:dyDescent="0.3">
      <c r="A156" s="1">
        <v>46</v>
      </c>
      <c r="B156" s="1" t="s">
        <v>25</v>
      </c>
      <c r="C156" s="7" t="s">
        <v>294</v>
      </c>
      <c r="D156" s="1" t="s">
        <v>153</v>
      </c>
      <c r="E156" s="1" t="s">
        <v>154</v>
      </c>
      <c r="F156" s="1" t="s">
        <v>167</v>
      </c>
      <c r="G156" s="1">
        <v>2002</v>
      </c>
      <c r="H156" s="1" t="s">
        <v>295</v>
      </c>
      <c r="I156" s="4" t="s">
        <v>297</v>
      </c>
      <c r="J156" s="4" t="s">
        <v>30</v>
      </c>
      <c r="K156" s="1" t="str">
        <f>CONCATENATE("011010102005","")</f>
        <v>011010102005</v>
      </c>
      <c r="L156" s="1" t="s">
        <v>31</v>
      </c>
      <c r="M156" s="1">
        <v>427.12</v>
      </c>
      <c r="N156" s="1" t="s">
        <v>296</v>
      </c>
      <c r="O156" s="1"/>
      <c r="P156" s="1"/>
      <c r="Q156" t="s">
        <v>51</v>
      </c>
      <c r="R156" t="s">
        <v>35</v>
      </c>
      <c r="T156">
        <v>265</v>
      </c>
      <c r="U156" t="s">
        <v>36</v>
      </c>
      <c r="W156" t="s">
        <v>298</v>
      </c>
    </row>
    <row r="157" spans="1:23" ht="25.05" customHeight="1" x14ac:dyDescent="0.3">
      <c r="A157" s="1">
        <v>262</v>
      </c>
      <c r="B157" s="1" t="s">
        <v>25</v>
      </c>
      <c r="C157" s="7" t="s">
        <v>1413</v>
      </c>
      <c r="D157" s="1" t="s">
        <v>1414</v>
      </c>
      <c r="E157" s="1" t="s">
        <v>1073</v>
      </c>
      <c r="F157" s="1">
        <v>2019</v>
      </c>
      <c r="G157" s="1">
        <v>2019</v>
      </c>
      <c r="H157" s="1" t="s">
        <v>1415</v>
      </c>
      <c r="I157" s="4" t="s">
        <v>1417</v>
      </c>
      <c r="J157" s="4" t="s">
        <v>30</v>
      </c>
      <c r="K157" s="1" t="str">
        <f>CONCATENATE("011010179871","")</f>
        <v>011010179871</v>
      </c>
      <c r="L157" s="1" t="s">
        <v>31</v>
      </c>
      <c r="M157" s="1">
        <v>427.12</v>
      </c>
      <c r="N157" s="1" t="s">
        <v>1416</v>
      </c>
      <c r="O157" s="1">
        <v>2019</v>
      </c>
      <c r="P157" s="1"/>
      <c r="Q157" t="s">
        <v>51</v>
      </c>
      <c r="R157" t="s">
        <v>35</v>
      </c>
      <c r="T157">
        <v>529</v>
      </c>
      <c r="U157" t="s">
        <v>36</v>
      </c>
      <c r="W157" t="s">
        <v>1357</v>
      </c>
    </row>
    <row r="158" spans="1:23" ht="25.05" customHeight="1" x14ac:dyDescent="0.3">
      <c r="A158" s="1">
        <v>8</v>
      </c>
      <c r="B158" s="1" t="s">
        <v>25</v>
      </c>
      <c r="C158" s="7" t="s">
        <v>92</v>
      </c>
      <c r="D158" s="1" t="s">
        <v>93</v>
      </c>
      <c r="E158" s="1" t="s">
        <v>94</v>
      </c>
      <c r="F158" s="1" t="s">
        <v>95</v>
      </c>
      <c r="G158" s="1">
        <v>2002</v>
      </c>
      <c r="H158" s="1" t="s">
        <v>96</v>
      </c>
      <c r="I158" s="4" t="s">
        <v>98</v>
      </c>
      <c r="J158" s="4" t="s">
        <v>30</v>
      </c>
      <c r="K158" s="1" t="str">
        <f>CONCATENATE("011010048540","")</f>
        <v>011010048540</v>
      </c>
      <c r="L158" s="1" t="s">
        <v>31</v>
      </c>
      <c r="M158" s="1">
        <v>427.12</v>
      </c>
      <c r="N158" s="1" t="s">
        <v>97</v>
      </c>
      <c r="O158" s="1">
        <v>2002</v>
      </c>
      <c r="P158" s="1"/>
      <c r="Q158" t="s">
        <v>51</v>
      </c>
      <c r="R158" t="s">
        <v>35</v>
      </c>
      <c r="T158">
        <v>355</v>
      </c>
      <c r="U158" t="s">
        <v>36</v>
      </c>
      <c r="W158" t="s">
        <v>99</v>
      </c>
    </row>
    <row r="159" spans="1:23" ht="25.05" customHeight="1" x14ac:dyDescent="0.3">
      <c r="A159" s="1">
        <v>122</v>
      </c>
      <c r="B159" s="1" t="s">
        <v>25</v>
      </c>
      <c r="C159" s="7" t="s">
        <v>675</v>
      </c>
      <c r="D159" s="1" t="s">
        <v>676</v>
      </c>
      <c r="E159" s="1" t="s">
        <v>677</v>
      </c>
      <c r="F159" s="1" t="s">
        <v>678</v>
      </c>
      <c r="G159" s="1">
        <v>2012</v>
      </c>
      <c r="H159" s="1" t="s">
        <v>679</v>
      </c>
      <c r="I159" s="4" t="s">
        <v>681</v>
      </c>
      <c r="J159" s="4" t="s">
        <v>30</v>
      </c>
      <c r="K159" s="1" t="str">
        <f>CONCATENATE("011010141265","")</f>
        <v>011010141265</v>
      </c>
      <c r="L159" s="1" t="s">
        <v>31</v>
      </c>
      <c r="M159" s="1">
        <v>427.12</v>
      </c>
      <c r="N159" s="1" t="s">
        <v>680</v>
      </c>
      <c r="O159" s="1">
        <v>2012</v>
      </c>
      <c r="P159" s="1"/>
      <c r="Q159" t="s">
        <v>51</v>
      </c>
      <c r="R159" t="s">
        <v>35</v>
      </c>
      <c r="T159">
        <v>690</v>
      </c>
      <c r="U159" t="s">
        <v>36</v>
      </c>
      <c r="W159" t="s">
        <v>656</v>
      </c>
    </row>
    <row r="160" spans="1:23" ht="25.05" customHeight="1" x14ac:dyDescent="0.3">
      <c r="A160" s="1">
        <v>203</v>
      </c>
      <c r="B160" s="1" t="s">
        <v>25</v>
      </c>
      <c r="C160" s="7" t="s">
        <v>1127</v>
      </c>
      <c r="D160" s="1" t="s">
        <v>1128</v>
      </c>
      <c r="E160" s="1" t="s">
        <v>735</v>
      </c>
      <c r="F160" s="1" t="s">
        <v>995</v>
      </c>
      <c r="G160" s="1">
        <v>2016</v>
      </c>
      <c r="H160" s="1" t="s">
        <v>1129</v>
      </c>
      <c r="I160" s="4" t="s">
        <v>1131</v>
      </c>
      <c r="J160" s="4" t="s">
        <v>30</v>
      </c>
      <c r="K160" s="1" t="str">
        <f>CONCATENATE("011010168748","")</f>
        <v>011010168748</v>
      </c>
      <c r="L160" s="1" t="s">
        <v>31</v>
      </c>
      <c r="M160" s="1">
        <v>427.12</v>
      </c>
      <c r="N160" s="1" t="s">
        <v>1130</v>
      </c>
      <c r="O160" s="1">
        <v>2016</v>
      </c>
      <c r="P160" s="1"/>
      <c r="Q160" t="s">
        <v>51</v>
      </c>
      <c r="R160" t="s">
        <v>35</v>
      </c>
      <c r="T160">
        <v>234</v>
      </c>
      <c r="U160" t="s">
        <v>36</v>
      </c>
      <c r="W160" t="s">
        <v>1081</v>
      </c>
    </row>
    <row r="161" spans="1:23" ht="25.05" customHeight="1" x14ac:dyDescent="0.3">
      <c r="A161" s="1">
        <v>74</v>
      </c>
      <c r="B161" s="1" t="s">
        <v>25</v>
      </c>
      <c r="C161" s="7" t="s">
        <v>425</v>
      </c>
      <c r="D161" s="1" t="s">
        <v>153</v>
      </c>
      <c r="E161" s="1" t="s">
        <v>154</v>
      </c>
      <c r="F161" s="1">
        <v>2009</v>
      </c>
      <c r="G161" s="1">
        <v>2009</v>
      </c>
      <c r="H161" s="1" t="s">
        <v>426</v>
      </c>
      <c r="I161" s="4" t="s">
        <v>428</v>
      </c>
      <c r="J161" s="4" t="s">
        <v>30</v>
      </c>
      <c r="K161" s="1" t="str">
        <f>CONCATENATE("011010125960","")</f>
        <v>011010125960</v>
      </c>
      <c r="L161" s="1" t="s">
        <v>31</v>
      </c>
      <c r="M161" s="1">
        <v>427.12</v>
      </c>
      <c r="N161" s="1" t="s">
        <v>427</v>
      </c>
      <c r="O161" s="1">
        <v>2000</v>
      </c>
      <c r="P161" s="1"/>
      <c r="Q161" t="s">
        <v>51</v>
      </c>
      <c r="R161" t="s">
        <v>35</v>
      </c>
      <c r="T161">
        <v>259</v>
      </c>
      <c r="U161" t="s">
        <v>36</v>
      </c>
      <c r="W161" t="s">
        <v>378</v>
      </c>
    </row>
    <row r="162" spans="1:23" ht="25.05" customHeight="1" x14ac:dyDescent="0.3">
      <c r="A162" s="1">
        <v>47</v>
      </c>
      <c r="B162" s="1" t="s">
        <v>25</v>
      </c>
      <c r="C162" s="7" t="s">
        <v>299</v>
      </c>
      <c r="D162" s="1" t="s">
        <v>300</v>
      </c>
      <c r="E162" s="1" t="s">
        <v>69</v>
      </c>
      <c r="F162" s="1" t="s">
        <v>167</v>
      </c>
      <c r="G162" s="1">
        <v>2003</v>
      </c>
      <c r="H162" s="1" t="s">
        <v>301</v>
      </c>
      <c r="I162" s="4" t="s">
        <v>303</v>
      </c>
      <c r="J162" s="4" t="s">
        <v>30</v>
      </c>
      <c r="K162" s="1" t="str">
        <f>CONCATENATE("011010102461","")</f>
        <v>011010102461</v>
      </c>
      <c r="L162" s="1" t="s">
        <v>31</v>
      </c>
      <c r="M162" s="1">
        <v>427.12</v>
      </c>
      <c r="N162" s="1" t="s">
        <v>302</v>
      </c>
      <c r="O162" s="1"/>
      <c r="P162" s="1"/>
      <c r="Q162" t="s">
        <v>51</v>
      </c>
      <c r="R162" t="s">
        <v>35</v>
      </c>
      <c r="T162">
        <v>265</v>
      </c>
      <c r="U162" t="s">
        <v>36</v>
      </c>
      <c r="W162" t="s">
        <v>298</v>
      </c>
    </row>
    <row r="163" spans="1:23" ht="25.05" customHeight="1" x14ac:dyDescent="0.3">
      <c r="A163" s="1">
        <v>92</v>
      </c>
      <c r="B163" s="1" t="s">
        <v>25</v>
      </c>
      <c r="C163" s="7" t="s">
        <v>512</v>
      </c>
      <c r="D163" s="1" t="s">
        <v>513</v>
      </c>
      <c r="E163" s="1" t="s">
        <v>514</v>
      </c>
      <c r="F163" s="1" t="s">
        <v>515</v>
      </c>
      <c r="G163" s="1">
        <v>2011</v>
      </c>
      <c r="H163" s="1" t="s">
        <v>516</v>
      </c>
      <c r="I163" s="4" t="s">
        <v>518</v>
      </c>
      <c r="J163" s="4" t="s">
        <v>30</v>
      </c>
      <c r="K163" s="1" t="str">
        <f>CONCATENATE("011010133998","")</f>
        <v>011010133998</v>
      </c>
      <c r="L163" s="1" t="s">
        <v>31</v>
      </c>
      <c r="M163" s="1">
        <v>427.12</v>
      </c>
      <c r="N163" s="1" t="s">
        <v>517</v>
      </c>
      <c r="O163" s="1">
        <v>2011</v>
      </c>
      <c r="P163" s="1"/>
      <c r="Q163" t="s">
        <v>51</v>
      </c>
      <c r="R163" t="s">
        <v>35</v>
      </c>
      <c r="T163">
        <v>111</v>
      </c>
      <c r="U163" t="s">
        <v>36</v>
      </c>
      <c r="W163" t="s">
        <v>511</v>
      </c>
    </row>
    <row r="164" spans="1:23" ht="25.05" customHeight="1" x14ac:dyDescent="0.3">
      <c r="A164" s="1">
        <v>35</v>
      </c>
      <c r="B164" s="1" t="s">
        <v>25</v>
      </c>
      <c r="C164" s="7" t="s">
        <v>243</v>
      </c>
      <c r="D164" s="1" t="s">
        <v>244</v>
      </c>
      <c r="E164" s="1" t="s">
        <v>245</v>
      </c>
      <c r="F164" s="1" t="s">
        <v>225</v>
      </c>
      <c r="G164" s="1">
        <v>2007</v>
      </c>
      <c r="H164" s="1" t="s">
        <v>246</v>
      </c>
      <c r="I164" s="4" t="s">
        <v>248</v>
      </c>
      <c r="J164" s="4" t="s">
        <v>30</v>
      </c>
      <c r="K164" s="1" t="str">
        <f>CONCATENATE("011010092687","")</f>
        <v>011010092687</v>
      </c>
      <c r="L164" s="1" t="s">
        <v>31</v>
      </c>
      <c r="M164" s="1">
        <v>427.12</v>
      </c>
      <c r="N164" s="1" t="s">
        <v>247</v>
      </c>
      <c r="O164" s="1">
        <v>2007</v>
      </c>
      <c r="P164" s="1"/>
      <c r="Q164" t="s">
        <v>51</v>
      </c>
      <c r="R164" t="s">
        <v>35</v>
      </c>
      <c r="T164">
        <v>291</v>
      </c>
      <c r="U164" t="s">
        <v>36</v>
      </c>
      <c r="W164" t="s">
        <v>229</v>
      </c>
    </row>
    <row r="165" spans="1:23" ht="25.05" customHeight="1" x14ac:dyDescent="0.3">
      <c r="A165" s="1">
        <v>94</v>
      </c>
      <c r="B165" s="1" t="s">
        <v>25</v>
      </c>
      <c r="C165" s="7" t="s">
        <v>524</v>
      </c>
      <c r="D165" s="1" t="s">
        <v>525</v>
      </c>
      <c r="E165" s="1" t="s">
        <v>526</v>
      </c>
      <c r="F165" s="1" t="s">
        <v>515</v>
      </c>
      <c r="G165" s="1">
        <v>2011</v>
      </c>
      <c r="H165" s="1" t="s">
        <v>527</v>
      </c>
      <c r="I165" s="4" t="s">
        <v>529</v>
      </c>
      <c r="J165" s="4" t="s">
        <v>30</v>
      </c>
      <c r="K165" s="1" t="str">
        <f>CONCATENATE("011010134291","")</f>
        <v>011010134291</v>
      </c>
      <c r="L165" s="1" t="s">
        <v>31</v>
      </c>
      <c r="M165" s="1">
        <v>427.13</v>
      </c>
      <c r="N165" s="1" t="s">
        <v>528</v>
      </c>
      <c r="O165" s="1">
        <v>2011</v>
      </c>
      <c r="P165" s="1"/>
      <c r="Q165" t="s">
        <v>51</v>
      </c>
      <c r="R165" t="s">
        <v>35</v>
      </c>
      <c r="T165">
        <v>219</v>
      </c>
      <c r="U165" t="s">
        <v>36</v>
      </c>
      <c r="W165" t="s">
        <v>523</v>
      </c>
    </row>
    <row r="166" spans="1:23" ht="25.05" customHeight="1" x14ac:dyDescent="0.3">
      <c r="A166" s="1">
        <v>95</v>
      </c>
      <c r="B166" s="1" t="s">
        <v>25</v>
      </c>
      <c r="C166" s="7" t="s">
        <v>530</v>
      </c>
      <c r="D166" s="1" t="s">
        <v>531</v>
      </c>
      <c r="E166" s="1" t="s">
        <v>532</v>
      </c>
      <c r="F166" s="1" t="s">
        <v>515</v>
      </c>
      <c r="G166" s="1">
        <v>2011</v>
      </c>
      <c r="H166" s="1" t="s">
        <v>533</v>
      </c>
      <c r="I166" s="4" t="s">
        <v>535</v>
      </c>
      <c r="J166" s="4" t="s">
        <v>30</v>
      </c>
      <c r="K166" s="1" t="str">
        <f>CONCATENATE("011010134307","")</f>
        <v>011010134307</v>
      </c>
      <c r="L166" s="1" t="s">
        <v>31</v>
      </c>
      <c r="M166" s="1">
        <v>427.13099999999997</v>
      </c>
      <c r="N166" s="1" t="s">
        <v>534</v>
      </c>
      <c r="O166" s="1">
        <v>2011</v>
      </c>
      <c r="P166" s="1"/>
      <c r="Q166" t="s">
        <v>51</v>
      </c>
      <c r="R166" t="s">
        <v>35</v>
      </c>
      <c r="T166">
        <v>234</v>
      </c>
      <c r="U166" t="s">
        <v>36</v>
      </c>
      <c r="W166" t="s">
        <v>523</v>
      </c>
    </row>
    <row r="167" spans="1:23" ht="25.05" customHeight="1" x14ac:dyDescent="0.3">
      <c r="A167" s="1">
        <v>41</v>
      </c>
      <c r="B167" s="1" t="s">
        <v>25</v>
      </c>
      <c r="C167" s="7" t="s">
        <v>275</v>
      </c>
      <c r="D167" s="1" t="s">
        <v>276</v>
      </c>
      <c r="E167" s="1" t="s">
        <v>277</v>
      </c>
      <c r="F167" s="1" t="s">
        <v>259</v>
      </c>
      <c r="G167" s="1">
        <v>2008</v>
      </c>
      <c r="H167" s="1" t="s">
        <v>278</v>
      </c>
      <c r="I167" s="4" t="s">
        <v>280</v>
      </c>
      <c r="J167" s="4" t="s">
        <v>30</v>
      </c>
      <c r="K167" s="1" t="str">
        <f>CONCATENATE("011010096414","")</f>
        <v>011010096414</v>
      </c>
      <c r="L167" s="1" t="s">
        <v>31</v>
      </c>
      <c r="M167" s="1">
        <v>427.13099999999997</v>
      </c>
      <c r="N167" s="1" t="s">
        <v>279</v>
      </c>
      <c r="O167" s="1">
        <v>2008</v>
      </c>
      <c r="P167" s="1"/>
      <c r="Q167" t="s">
        <v>51</v>
      </c>
      <c r="R167" t="s">
        <v>35</v>
      </c>
      <c r="T167">
        <v>138</v>
      </c>
      <c r="U167" t="s">
        <v>36</v>
      </c>
      <c r="W167" t="s">
        <v>263</v>
      </c>
    </row>
    <row r="168" spans="1:23" ht="25.05" customHeight="1" x14ac:dyDescent="0.3">
      <c r="A168" s="1">
        <v>84</v>
      </c>
      <c r="B168" s="1" t="s">
        <v>25</v>
      </c>
      <c r="C168" s="7" t="s">
        <v>466</v>
      </c>
      <c r="D168" s="1" t="s">
        <v>467</v>
      </c>
      <c r="E168" s="1" t="s">
        <v>414</v>
      </c>
      <c r="F168" s="1" t="s">
        <v>374</v>
      </c>
      <c r="G168" s="1">
        <v>2010</v>
      </c>
      <c r="H168" s="1" t="s">
        <v>468</v>
      </c>
      <c r="I168" s="4" t="s">
        <v>470</v>
      </c>
      <c r="J168" s="4" t="s">
        <v>30</v>
      </c>
      <c r="K168" s="1" t="str">
        <f>CONCATENATE("011010128442","")</f>
        <v>011010128442</v>
      </c>
      <c r="L168" s="1" t="s">
        <v>31</v>
      </c>
      <c r="M168" s="1">
        <v>427.13099999999997</v>
      </c>
      <c r="N168" s="1" t="s">
        <v>469</v>
      </c>
      <c r="O168" s="1">
        <v>2010</v>
      </c>
      <c r="P168" s="1"/>
      <c r="Q168" t="s">
        <v>51</v>
      </c>
      <c r="R168" t="s">
        <v>35</v>
      </c>
      <c r="T168">
        <v>274</v>
      </c>
      <c r="U168" t="s">
        <v>36</v>
      </c>
      <c r="W168" t="s">
        <v>471</v>
      </c>
    </row>
    <row r="169" spans="1:23" ht="25.05" customHeight="1" x14ac:dyDescent="0.3">
      <c r="A169" s="1">
        <v>1</v>
      </c>
      <c r="B169" s="1" t="s">
        <v>25</v>
      </c>
      <c r="C169" s="7" t="s">
        <v>1984</v>
      </c>
      <c r="D169" s="1" t="s">
        <v>1985</v>
      </c>
      <c r="E169" s="1" t="s">
        <v>339</v>
      </c>
      <c r="F169" s="1" t="s">
        <v>236</v>
      </c>
      <c r="G169" s="1">
        <v>2003</v>
      </c>
      <c r="H169" s="1" t="s">
        <v>1986</v>
      </c>
      <c r="I169" s="4" t="s">
        <v>1988</v>
      </c>
      <c r="J169" s="4" t="s">
        <v>30</v>
      </c>
      <c r="K169" s="1" t="str">
        <f>CONCATENATE("011010107650","")</f>
        <v>011010107650</v>
      </c>
      <c r="L169" s="1" t="s">
        <v>31</v>
      </c>
      <c r="M169" s="1">
        <v>427.13099999999997</v>
      </c>
      <c r="N169" s="1" t="s">
        <v>1987</v>
      </c>
      <c r="O169" s="1"/>
      <c r="P169" s="1"/>
      <c r="Q169" t="s">
        <v>51</v>
      </c>
      <c r="R169" t="s">
        <v>35</v>
      </c>
      <c r="T169">
        <v>200</v>
      </c>
      <c r="U169" t="s">
        <v>36</v>
      </c>
      <c r="W169" t="s">
        <v>336</v>
      </c>
    </row>
    <row r="170" spans="1:23" ht="25.05" customHeight="1" x14ac:dyDescent="0.3">
      <c r="A170" s="1">
        <v>121</v>
      </c>
      <c r="B170" s="1" t="s">
        <v>25</v>
      </c>
      <c r="C170" s="7" t="s">
        <v>669</v>
      </c>
      <c r="D170" s="1" t="s">
        <v>670</v>
      </c>
      <c r="E170" s="1" t="s">
        <v>671</v>
      </c>
      <c r="F170" s="1">
        <v>2012</v>
      </c>
      <c r="G170" s="1">
        <v>2012</v>
      </c>
      <c r="H170" s="1" t="s">
        <v>672</v>
      </c>
      <c r="I170" s="4" t="s">
        <v>674</v>
      </c>
      <c r="J170" s="4" t="s">
        <v>30</v>
      </c>
      <c r="K170" s="1" t="str">
        <f>CONCATENATE("011010141245","")</f>
        <v>011010141245</v>
      </c>
      <c r="L170" s="1" t="s">
        <v>31</v>
      </c>
      <c r="M170" s="1">
        <v>427.13099999999997</v>
      </c>
      <c r="N170" s="1" t="s">
        <v>673</v>
      </c>
      <c r="O170" s="1">
        <v>2012</v>
      </c>
      <c r="P170" s="1"/>
      <c r="Q170" t="s">
        <v>51</v>
      </c>
      <c r="R170" t="s">
        <v>35</v>
      </c>
      <c r="T170">
        <v>173</v>
      </c>
      <c r="U170" t="s">
        <v>36</v>
      </c>
      <c r="W170" t="s">
        <v>656</v>
      </c>
    </row>
    <row r="171" spans="1:23" ht="25.05" customHeight="1" x14ac:dyDescent="0.3">
      <c r="A171" s="1">
        <v>172</v>
      </c>
      <c r="B171" s="1" t="s">
        <v>25</v>
      </c>
      <c r="C171" s="7" t="s">
        <v>964</v>
      </c>
      <c r="D171" s="1" t="s">
        <v>965</v>
      </c>
      <c r="E171" s="1" t="s">
        <v>714</v>
      </c>
      <c r="F171" s="1">
        <v>2015</v>
      </c>
      <c r="G171" s="1">
        <v>2015</v>
      </c>
      <c r="H171" s="1" t="s">
        <v>966</v>
      </c>
      <c r="I171" s="4" t="s">
        <v>968</v>
      </c>
      <c r="J171" s="4" t="s">
        <v>30</v>
      </c>
      <c r="K171" s="1" t="str">
        <f>CONCATENATE("011010164030","")</f>
        <v>011010164030</v>
      </c>
      <c r="L171" s="1" t="s">
        <v>31</v>
      </c>
      <c r="M171" s="1">
        <v>427.13099999999997</v>
      </c>
      <c r="N171" s="1" t="s">
        <v>967</v>
      </c>
      <c r="O171" s="1">
        <v>2015</v>
      </c>
      <c r="P171" s="1"/>
      <c r="Q171" t="s">
        <v>51</v>
      </c>
      <c r="R171" t="s">
        <v>35</v>
      </c>
      <c r="T171">
        <v>322</v>
      </c>
      <c r="U171" t="s">
        <v>36</v>
      </c>
      <c r="W171" t="s">
        <v>909</v>
      </c>
    </row>
    <row r="172" spans="1:23" ht="25.05" customHeight="1" x14ac:dyDescent="0.3">
      <c r="A172" s="1">
        <v>64</v>
      </c>
      <c r="B172" s="1" t="s">
        <v>25</v>
      </c>
      <c r="C172" s="7" t="s">
        <v>379</v>
      </c>
      <c r="D172" s="1"/>
      <c r="E172" s="1" t="s">
        <v>380</v>
      </c>
      <c r="F172" s="1" t="s">
        <v>374</v>
      </c>
      <c r="G172" s="1">
        <v>2010</v>
      </c>
      <c r="H172" s="1" t="s">
        <v>381</v>
      </c>
      <c r="I172" s="4" t="s">
        <v>383</v>
      </c>
      <c r="J172" s="4" t="s">
        <v>30</v>
      </c>
      <c r="K172" s="1" t="str">
        <f>CONCATENATE("011010116725","")</f>
        <v>011010116725</v>
      </c>
      <c r="L172" s="1" t="s">
        <v>31</v>
      </c>
      <c r="M172" s="1">
        <v>427.13099999999997</v>
      </c>
      <c r="N172" s="1" t="s">
        <v>382</v>
      </c>
      <c r="O172" s="1">
        <v>2010</v>
      </c>
      <c r="P172" s="1"/>
      <c r="Q172" t="s">
        <v>51</v>
      </c>
      <c r="R172" t="s">
        <v>35</v>
      </c>
      <c r="S172" t="s">
        <v>362</v>
      </c>
      <c r="T172">
        <v>259</v>
      </c>
      <c r="U172" t="s">
        <v>36</v>
      </c>
      <c r="W172" t="s">
        <v>384</v>
      </c>
    </row>
    <row r="173" spans="1:23" ht="25.05" customHeight="1" x14ac:dyDescent="0.3">
      <c r="A173" s="1">
        <v>93</v>
      </c>
      <c r="B173" s="1" t="s">
        <v>25</v>
      </c>
      <c r="C173" s="7" t="s">
        <v>519</v>
      </c>
      <c r="D173" s="1" t="s">
        <v>250</v>
      </c>
      <c r="E173" s="1" t="s">
        <v>414</v>
      </c>
      <c r="F173" s="1">
        <v>2009</v>
      </c>
      <c r="G173" s="1">
        <v>2009</v>
      </c>
      <c r="H173" s="1" t="s">
        <v>520</v>
      </c>
      <c r="I173" s="4" t="s">
        <v>522</v>
      </c>
      <c r="J173" s="4" t="s">
        <v>30</v>
      </c>
      <c r="K173" s="1" t="str">
        <f>CONCATENATE("011010134290","")</f>
        <v>011010134290</v>
      </c>
      <c r="L173" s="1" t="s">
        <v>31</v>
      </c>
      <c r="M173" s="1">
        <v>427.13099999999997</v>
      </c>
      <c r="N173" s="1" t="s">
        <v>521</v>
      </c>
      <c r="O173" s="1">
        <v>2009</v>
      </c>
      <c r="P173" s="1"/>
      <c r="Q173" t="s">
        <v>51</v>
      </c>
      <c r="R173" t="s">
        <v>35</v>
      </c>
      <c r="T173">
        <v>219</v>
      </c>
      <c r="U173" t="s">
        <v>36</v>
      </c>
      <c r="W173" t="s">
        <v>523</v>
      </c>
    </row>
    <row r="174" spans="1:23" ht="25.05" customHeight="1" x14ac:dyDescent="0.3">
      <c r="A174" s="1">
        <v>235</v>
      </c>
      <c r="B174" s="1" t="s">
        <v>25</v>
      </c>
      <c r="C174" s="7" t="s">
        <v>1258</v>
      </c>
      <c r="D174" s="1" t="s">
        <v>1259</v>
      </c>
      <c r="E174" s="1" t="s">
        <v>1260</v>
      </c>
      <c r="F174" s="1">
        <v>2015</v>
      </c>
      <c r="G174" s="1">
        <v>2015</v>
      </c>
      <c r="H174" s="1" t="s">
        <v>1261</v>
      </c>
      <c r="I174" s="4" t="s">
        <v>1263</v>
      </c>
      <c r="J174" s="4" t="s">
        <v>30</v>
      </c>
      <c r="K174" s="1" t="str">
        <f>CONCATENATE("011010175818","")</f>
        <v>011010175818</v>
      </c>
      <c r="L174" s="1" t="s">
        <v>31</v>
      </c>
      <c r="M174" s="1">
        <v>427.13200000000001</v>
      </c>
      <c r="N174" s="1" t="s">
        <v>1262</v>
      </c>
      <c r="O174" s="1">
        <v>2015</v>
      </c>
      <c r="P174" s="1"/>
      <c r="Q174" t="s">
        <v>51</v>
      </c>
      <c r="R174" t="s">
        <v>35</v>
      </c>
      <c r="T174">
        <v>254</v>
      </c>
      <c r="U174" t="s">
        <v>36</v>
      </c>
      <c r="W174" t="s">
        <v>1251</v>
      </c>
    </row>
    <row r="175" spans="1:23" ht="25.05" customHeight="1" x14ac:dyDescent="0.3">
      <c r="A175" s="1">
        <v>136</v>
      </c>
      <c r="B175" s="1" t="s">
        <v>25</v>
      </c>
      <c r="C175" s="7" t="s">
        <v>760</v>
      </c>
      <c r="D175" s="1" t="s">
        <v>761</v>
      </c>
      <c r="E175" s="1" t="s">
        <v>762</v>
      </c>
      <c r="F175" s="1">
        <v>2014</v>
      </c>
      <c r="G175" s="1">
        <v>2013</v>
      </c>
      <c r="H175" s="1" t="s">
        <v>763</v>
      </c>
      <c r="I175" s="4" t="s">
        <v>765</v>
      </c>
      <c r="J175" s="4" t="s">
        <v>30</v>
      </c>
      <c r="K175" s="1" t="str">
        <f>CONCATENATE("011010150202","")</f>
        <v>011010150202</v>
      </c>
      <c r="L175" s="1" t="s">
        <v>31</v>
      </c>
      <c r="M175" s="1">
        <v>427.13299999999998</v>
      </c>
      <c r="N175" s="1" t="s">
        <v>764</v>
      </c>
      <c r="O175" s="1">
        <v>2014</v>
      </c>
      <c r="P175" s="1"/>
      <c r="Q175" t="s">
        <v>51</v>
      </c>
      <c r="R175" t="s">
        <v>35</v>
      </c>
      <c r="T175">
        <v>278</v>
      </c>
      <c r="U175" t="s">
        <v>36</v>
      </c>
      <c r="W175" t="s">
        <v>766</v>
      </c>
    </row>
    <row r="176" spans="1:23" ht="25.05" customHeight="1" x14ac:dyDescent="0.3">
      <c r="A176" s="1">
        <v>200</v>
      </c>
      <c r="B176" s="1" t="s">
        <v>25</v>
      </c>
      <c r="C176" s="7" t="s">
        <v>1112</v>
      </c>
      <c r="D176" s="1" t="s">
        <v>1113</v>
      </c>
      <c r="E176" s="1" t="s">
        <v>1114</v>
      </c>
      <c r="F176" s="1" t="s">
        <v>715</v>
      </c>
      <c r="G176" s="1">
        <v>2014</v>
      </c>
      <c r="H176" s="1" t="s">
        <v>1115</v>
      </c>
      <c r="I176" s="4" t="s">
        <v>1117</v>
      </c>
      <c r="J176" s="4" t="s">
        <v>30</v>
      </c>
      <c r="K176" s="1" t="str">
        <f>CONCATENATE("011010168533","")</f>
        <v>011010168533</v>
      </c>
      <c r="L176" s="1" t="s">
        <v>31</v>
      </c>
      <c r="M176" s="1">
        <v>427.13819999999998</v>
      </c>
      <c r="N176" s="1" t="s">
        <v>1116</v>
      </c>
      <c r="O176" s="1">
        <v>2014</v>
      </c>
      <c r="P176" s="1"/>
      <c r="Q176" t="s">
        <v>274</v>
      </c>
      <c r="R176" t="s">
        <v>35</v>
      </c>
      <c r="T176">
        <v>182</v>
      </c>
      <c r="U176" t="s">
        <v>36</v>
      </c>
      <c r="W176" t="s">
        <v>1081</v>
      </c>
    </row>
    <row r="177" spans="1:23" ht="25.05" customHeight="1" x14ac:dyDescent="0.3">
      <c r="A177" s="1">
        <v>201</v>
      </c>
      <c r="B177" s="1" t="s">
        <v>25</v>
      </c>
      <c r="C177" s="7" t="s">
        <v>1118</v>
      </c>
      <c r="D177" s="1" t="s">
        <v>1119</v>
      </c>
      <c r="E177" s="1" t="s">
        <v>1120</v>
      </c>
      <c r="F177" s="1" t="s">
        <v>995</v>
      </c>
      <c r="G177" s="1">
        <v>2016</v>
      </c>
      <c r="H177" s="1" t="s">
        <v>1121</v>
      </c>
      <c r="I177" s="4" t="s">
        <v>1123</v>
      </c>
      <c r="J177" s="4" t="s">
        <v>30</v>
      </c>
      <c r="K177" s="1" t="str">
        <f>CONCATENATE("011010168534","")</f>
        <v>011010168534</v>
      </c>
      <c r="L177" s="1" t="s">
        <v>31</v>
      </c>
      <c r="M177" s="1">
        <v>427.13819999999998</v>
      </c>
      <c r="N177" s="1" t="s">
        <v>1122</v>
      </c>
      <c r="O177" s="1">
        <v>2016</v>
      </c>
      <c r="P177" s="1"/>
      <c r="Q177" t="s">
        <v>51</v>
      </c>
      <c r="R177" t="s">
        <v>35</v>
      </c>
      <c r="T177">
        <v>228</v>
      </c>
      <c r="U177" t="s">
        <v>36</v>
      </c>
      <c r="W177" t="s">
        <v>1081</v>
      </c>
    </row>
    <row r="178" spans="1:23" ht="25.05" customHeight="1" x14ac:dyDescent="0.3">
      <c r="A178" s="1">
        <v>228</v>
      </c>
      <c r="B178" s="1" t="s">
        <v>25</v>
      </c>
      <c r="C178" s="7" t="s">
        <v>1218</v>
      </c>
      <c r="D178" s="1" t="s">
        <v>1219</v>
      </c>
      <c r="E178" s="1" t="s">
        <v>277</v>
      </c>
      <c r="F178" s="1">
        <v>2017</v>
      </c>
      <c r="G178" s="1">
        <v>2017</v>
      </c>
      <c r="H178" s="1" t="s">
        <v>1220</v>
      </c>
      <c r="I178" s="4" t="s">
        <v>1222</v>
      </c>
      <c r="J178" s="4" t="s">
        <v>30</v>
      </c>
      <c r="K178" s="1" t="str">
        <f>CONCATENATE("011010175280","")</f>
        <v>011010175280</v>
      </c>
      <c r="L178" s="1" t="s">
        <v>31</v>
      </c>
      <c r="M178" s="1">
        <v>427.14</v>
      </c>
      <c r="N178" s="1" t="s">
        <v>1221</v>
      </c>
      <c r="O178" s="1">
        <v>2017</v>
      </c>
      <c r="P178" s="1"/>
      <c r="Q178" t="s">
        <v>51</v>
      </c>
      <c r="R178" t="s">
        <v>35</v>
      </c>
      <c r="T178">
        <v>237</v>
      </c>
      <c r="U178" t="s">
        <v>36</v>
      </c>
      <c r="W178" t="s">
        <v>1223</v>
      </c>
    </row>
    <row r="179" spans="1:23" ht="25.05" customHeight="1" x14ac:dyDescent="0.3">
      <c r="A179" s="1">
        <v>162</v>
      </c>
      <c r="B179" s="1" t="s">
        <v>25</v>
      </c>
      <c r="C179" s="7" t="s">
        <v>910</v>
      </c>
      <c r="D179" s="1" t="s">
        <v>911</v>
      </c>
      <c r="E179" s="1" t="s">
        <v>154</v>
      </c>
      <c r="F179" s="1" t="s">
        <v>701</v>
      </c>
      <c r="G179" s="1">
        <v>2013</v>
      </c>
      <c r="H179" s="1" t="s">
        <v>912</v>
      </c>
      <c r="I179" s="4" t="s">
        <v>914</v>
      </c>
      <c r="J179" s="4" t="s">
        <v>30</v>
      </c>
      <c r="K179" s="1" t="str">
        <f>CONCATENATE("011010161867","")</f>
        <v>011010161867</v>
      </c>
      <c r="L179" s="1" t="s">
        <v>31</v>
      </c>
      <c r="M179" s="1">
        <v>427.16</v>
      </c>
      <c r="N179" s="1" t="s">
        <v>913</v>
      </c>
      <c r="O179" s="1">
        <v>2013</v>
      </c>
      <c r="P179" s="1"/>
      <c r="Q179" t="s">
        <v>51</v>
      </c>
      <c r="R179" t="s">
        <v>35</v>
      </c>
      <c r="T179">
        <v>213</v>
      </c>
      <c r="U179" t="s">
        <v>36</v>
      </c>
      <c r="W179" t="s">
        <v>909</v>
      </c>
    </row>
    <row r="180" spans="1:23" ht="25.05" customHeight="1" x14ac:dyDescent="0.3">
      <c r="A180" s="1">
        <v>221</v>
      </c>
      <c r="B180" s="1" t="s">
        <v>25</v>
      </c>
      <c r="C180" s="7" t="s">
        <v>1182</v>
      </c>
      <c r="D180" s="1" t="s">
        <v>1183</v>
      </c>
      <c r="E180" s="1" t="s">
        <v>1184</v>
      </c>
      <c r="F180" s="1" t="s">
        <v>1135</v>
      </c>
      <c r="G180" s="1">
        <v>2017</v>
      </c>
      <c r="H180" s="1" t="s">
        <v>1185</v>
      </c>
      <c r="I180" s="4" t="s">
        <v>1187</v>
      </c>
      <c r="J180" s="4" t="s">
        <v>30</v>
      </c>
      <c r="K180" s="1" t="str">
        <f>CONCATENATE("011010174003","")</f>
        <v>011010174003</v>
      </c>
      <c r="L180" s="1" t="s">
        <v>31</v>
      </c>
      <c r="M180" s="1">
        <v>427.16</v>
      </c>
      <c r="N180" s="1" t="s">
        <v>1186</v>
      </c>
      <c r="O180" s="1">
        <v>2017</v>
      </c>
      <c r="P180" s="1"/>
      <c r="Q180" t="s">
        <v>51</v>
      </c>
      <c r="R180" t="s">
        <v>35</v>
      </c>
      <c r="T180">
        <v>200</v>
      </c>
      <c r="U180" t="s">
        <v>36</v>
      </c>
      <c r="W180" t="s">
        <v>1176</v>
      </c>
    </row>
    <row r="181" spans="1:23" ht="25.05" customHeight="1" x14ac:dyDescent="0.3">
      <c r="A181" s="1">
        <v>4</v>
      </c>
      <c r="B181" s="1" t="s">
        <v>25</v>
      </c>
      <c r="C181" s="7" t="s">
        <v>2127</v>
      </c>
      <c r="D181" s="1" t="s">
        <v>250</v>
      </c>
      <c r="E181" s="1" t="s">
        <v>251</v>
      </c>
      <c r="F181" s="1" t="s">
        <v>374</v>
      </c>
      <c r="G181" s="1" t="s">
        <v>2128</v>
      </c>
      <c r="H181" s="1"/>
      <c r="I181" s="4" t="s">
        <v>2130</v>
      </c>
      <c r="J181" s="4" t="s">
        <v>30</v>
      </c>
      <c r="K181" s="1" t="str">
        <f>CONCATENATE("011010127472","")</f>
        <v>011010127472</v>
      </c>
      <c r="L181" s="1" t="s">
        <v>31</v>
      </c>
      <c r="M181" s="1">
        <v>427.16</v>
      </c>
      <c r="N181" s="1" t="s">
        <v>2129</v>
      </c>
      <c r="O181" s="1">
        <v>2010</v>
      </c>
      <c r="P181" s="1"/>
      <c r="Q181" t="s">
        <v>51</v>
      </c>
      <c r="R181" t="s">
        <v>35</v>
      </c>
      <c r="T181">
        <v>145</v>
      </c>
      <c r="U181" t="s">
        <v>36</v>
      </c>
      <c r="W181" t="s">
        <v>453</v>
      </c>
    </row>
    <row r="182" spans="1:23" ht="25.05" customHeight="1" x14ac:dyDescent="0.3">
      <c r="A182" s="1">
        <v>238</v>
      </c>
      <c r="B182" s="1" t="s">
        <v>25</v>
      </c>
      <c r="C182" s="7" t="s">
        <v>1274</v>
      </c>
      <c r="D182" s="1" t="s">
        <v>1275</v>
      </c>
      <c r="E182" s="1" t="s">
        <v>1276</v>
      </c>
      <c r="F182" s="1">
        <v>2018</v>
      </c>
      <c r="G182" s="1">
        <v>2018</v>
      </c>
      <c r="H182" s="1" t="s">
        <v>1277</v>
      </c>
      <c r="I182" s="4" t="s">
        <v>1279</v>
      </c>
      <c r="J182" s="4" t="s">
        <v>30</v>
      </c>
      <c r="K182" s="1" t="str">
        <f>CONCATENATE("011010176125","")</f>
        <v>011010176125</v>
      </c>
      <c r="L182" s="1" t="s">
        <v>31</v>
      </c>
      <c r="M182" s="1">
        <v>427.16</v>
      </c>
      <c r="N182" s="1" t="s">
        <v>1278</v>
      </c>
      <c r="O182" s="1">
        <v>2018</v>
      </c>
      <c r="P182" s="1"/>
      <c r="Q182" t="s">
        <v>51</v>
      </c>
      <c r="R182" t="s">
        <v>35</v>
      </c>
      <c r="T182">
        <v>314</v>
      </c>
      <c r="U182" t="s">
        <v>36</v>
      </c>
      <c r="W182" t="s">
        <v>1251</v>
      </c>
    </row>
    <row r="183" spans="1:23" ht="25.05" customHeight="1" x14ac:dyDescent="0.3">
      <c r="A183" s="1">
        <v>1</v>
      </c>
      <c r="B183" s="1" t="s">
        <v>25</v>
      </c>
      <c r="C183" s="7" t="s">
        <v>43</v>
      </c>
      <c r="D183" s="1" t="s">
        <v>42</v>
      </c>
      <c r="E183" s="1" t="s">
        <v>41</v>
      </c>
      <c r="F183" s="1">
        <v>2019</v>
      </c>
      <c r="G183" s="1">
        <v>2019</v>
      </c>
      <c r="H183" s="1" t="s">
        <v>40</v>
      </c>
      <c r="I183" s="4" t="s">
        <v>38</v>
      </c>
      <c r="J183" s="4" t="s">
        <v>30</v>
      </c>
      <c r="K183" s="1" t="str">
        <f>CONCATENATE("011010180162","")</f>
        <v>011010180162</v>
      </c>
      <c r="L183" s="1" t="s">
        <v>31</v>
      </c>
      <c r="M183" s="1">
        <v>427.17</v>
      </c>
      <c r="N183" s="1" t="s">
        <v>39</v>
      </c>
      <c r="O183" s="1">
        <v>2019</v>
      </c>
      <c r="P183" s="1"/>
      <c r="Q183" t="s">
        <v>34</v>
      </c>
      <c r="R183" t="s">
        <v>35</v>
      </c>
      <c r="T183">
        <v>238</v>
      </c>
      <c r="U183" t="s">
        <v>36</v>
      </c>
      <c r="W183" t="s">
        <v>37</v>
      </c>
    </row>
    <row r="184" spans="1:23" ht="25.05" customHeight="1" x14ac:dyDescent="0.3">
      <c r="A184" s="1">
        <v>1</v>
      </c>
      <c r="B184" s="1" t="s">
        <v>25</v>
      </c>
      <c r="C184" s="7" t="s">
        <v>26</v>
      </c>
      <c r="D184" s="1" t="s">
        <v>27</v>
      </c>
      <c r="E184" s="1" t="s">
        <v>28</v>
      </c>
      <c r="F184" s="1">
        <v>2019</v>
      </c>
      <c r="G184" s="1">
        <v>2019</v>
      </c>
      <c r="H184" s="1" t="s">
        <v>29</v>
      </c>
      <c r="I184" s="4" t="s">
        <v>33</v>
      </c>
      <c r="J184" s="4" t="s">
        <v>30</v>
      </c>
      <c r="K184" s="1" t="str">
        <f>CONCATENATE("011010180166","")</f>
        <v>011010180166</v>
      </c>
      <c r="L184" s="1" t="s">
        <v>31</v>
      </c>
      <c r="M184" s="1">
        <v>427.17</v>
      </c>
      <c r="N184" s="1" t="s">
        <v>32</v>
      </c>
      <c r="O184" s="1">
        <v>2019</v>
      </c>
      <c r="P184" s="1"/>
      <c r="Q184" t="s">
        <v>34</v>
      </c>
      <c r="R184" t="s">
        <v>35</v>
      </c>
      <c r="T184">
        <v>252</v>
      </c>
      <c r="U184" t="s">
        <v>36</v>
      </c>
      <c r="W184" t="s">
        <v>37</v>
      </c>
    </row>
    <row r="185" spans="1:23" ht="25.05" customHeight="1" x14ac:dyDescent="0.3">
      <c r="A185" s="1">
        <v>29</v>
      </c>
      <c r="B185" s="1" t="s">
        <v>25</v>
      </c>
      <c r="C185" s="7" t="s">
        <v>2041</v>
      </c>
      <c r="D185" s="1" t="s">
        <v>2042</v>
      </c>
      <c r="E185" s="1" t="s">
        <v>2043</v>
      </c>
      <c r="F185" s="1">
        <v>2019</v>
      </c>
      <c r="G185" s="1">
        <v>2019</v>
      </c>
      <c r="H185" s="1" t="s">
        <v>2044</v>
      </c>
      <c r="I185" s="4" t="s">
        <v>2046</v>
      </c>
      <c r="J185" s="4" t="s">
        <v>30</v>
      </c>
      <c r="K185" s="1" t="str">
        <f>CONCATENATE("011010180215","")</f>
        <v>011010180215</v>
      </c>
      <c r="L185" s="1" t="s">
        <v>31</v>
      </c>
      <c r="M185" s="1">
        <v>427.17</v>
      </c>
      <c r="N185" s="1" t="s">
        <v>2045</v>
      </c>
      <c r="O185" s="1">
        <v>2019</v>
      </c>
      <c r="P185" s="1"/>
      <c r="Q185" t="s">
        <v>34</v>
      </c>
      <c r="R185" t="s">
        <v>35</v>
      </c>
      <c r="T185">
        <v>315</v>
      </c>
      <c r="U185" t="s">
        <v>36</v>
      </c>
      <c r="W185" t="s">
        <v>37</v>
      </c>
    </row>
    <row r="186" spans="1:23" ht="25.05" customHeight="1" x14ac:dyDescent="0.3">
      <c r="A186" s="1">
        <v>22</v>
      </c>
      <c r="B186" s="1" t="s">
        <v>25</v>
      </c>
      <c r="C186" s="7" t="s">
        <v>2025</v>
      </c>
      <c r="D186" s="1" t="s">
        <v>2026</v>
      </c>
      <c r="E186" s="1" t="s">
        <v>2027</v>
      </c>
      <c r="F186" s="1" t="s">
        <v>1135</v>
      </c>
      <c r="G186" s="1">
        <v>2017</v>
      </c>
      <c r="H186" s="1" t="s">
        <v>2028</v>
      </c>
      <c r="I186" s="4" t="s">
        <v>2030</v>
      </c>
      <c r="J186" s="4" t="s">
        <v>30</v>
      </c>
      <c r="K186" s="1" t="str">
        <f>CONCATENATE("011010173105","")</f>
        <v>011010173105</v>
      </c>
      <c r="L186" s="1" t="s">
        <v>31</v>
      </c>
      <c r="M186" s="1">
        <v>427.17</v>
      </c>
      <c r="N186" s="1" t="s">
        <v>2029</v>
      </c>
      <c r="O186" s="1">
        <v>2017</v>
      </c>
      <c r="P186" s="1"/>
      <c r="Q186" t="s">
        <v>51</v>
      </c>
      <c r="R186" t="s">
        <v>35</v>
      </c>
      <c r="T186">
        <v>221</v>
      </c>
      <c r="U186" t="s">
        <v>36</v>
      </c>
      <c r="W186" t="s">
        <v>1149</v>
      </c>
    </row>
    <row r="187" spans="1:23" ht="25.05" customHeight="1" x14ac:dyDescent="0.3">
      <c r="A187" s="1">
        <v>6</v>
      </c>
      <c r="B187" s="1" t="s">
        <v>25</v>
      </c>
      <c r="C187" s="7" t="s">
        <v>2000</v>
      </c>
      <c r="D187" s="1" t="s">
        <v>2001</v>
      </c>
      <c r="E187" s="1" t="s">
        <v>2002</v>
      </c>
      <c r="F187" s="1" t="s">
        <v>515</v>
      </c>
      <c r="G187" s="1">
        <v>2011</v>
      </c>
      <c r="H187" s="1" t="s">
        <v>2003</v>
      </c>
      <c r="I187" s="4" t="s">
        <v>2005</v>
      </c>
      <c r="J187" s="4" t="s">
        <v>30</v>
      </c>
      <c r="K187" s="1" t="str">
        <f>CONCATENATE("011010140128","")</f>
        <v>011010140128</v>
      </c>
      <c r="L187" s="1" t="s">
        <v>31</v>
      </c>
      <c r="M187" s="1">
        <v>427.17</v>
      </c>
      <c r="N187" s="1" t="s">
        <v>2004</v>
      </c>
      <c r="O187" s="1">
        <v>2011</v>
      </c>
      <c r="P187" s="1"/>
      <c r="Q187" t="s">
        <v>51</v>
      </c>
      <c r="R187" t="s">
        <v>35</v>
      </c>
      <c r="T187">
        <v>237</v>
      </c>
      <c r="U187" t="s">
        <v>36</v>
      </c>
      <c r="W187" t="s">
        <v>580</v>
      </c>
    </row>
    <row r="188" spans="1:23" ht="25.05" customHeight="1" x14ac:dyDescent="0.3">
      <c r="A188" s="1">
        <v>23</v>
      </c>
      <c r="B188" s="1" t="s">
        <v>25</v>
      </c>
      <c r="C188" s="7" t="s">
        <v>2031</v>
      </c>
      <c r="D188" s="1" t="s">
        <v>1419</v>
      </c>
      <c r="E188" s="1" t="s">
        <v>813</v>
      </c>
      <c r="F188" s="1" t="s">
        <v>1135</v>
      </c>
      <c r="G188" s="1">
        <v>2017</v>
      </c>
      <c r="H188" s="1" t="s">
        <v>2032</v>
      </c>
      <c r="I188" s="4" t="s">
        <v>2034</v>
      </c>
      <c r="J188" s="4" t="s">
        <v>30</v>
      </c>
      <c r="K188" s="1" t="str">
        <f>CONCATENATE("011010174667","")</f>
        <v>011010174667</v>
      </c>
      <c r="L188" s="1" t="s">
        <v>31</v>
      </c>
      <c r="M188" s="1">
        <v>427.17</v>
      </c>
      <c r="N188" s="1" t="s">
        <v>2033</v>
      </c>
      <c r="O188" s="1">
        <v>2017</v>
      </c>
      <c r="P188" s="1"/>
      <c r="Q188" t="s">
        <v>51</v>
      </c>
      <c r="R188" t="s">
        <v>35</v>
      </c>
      <c r="T188">
        <v>280</v>
      </c>
      <c r="U188" t="s">
        <v>36</v>
      </c>
      <c r="W188" t="s">
        <v>2035</v>
      </c>
    </row>
    <row r="189" spans="1:23" ht="25.05" customHeight="1" x14ac:dyDescent="0.3">
      <c r="A189" s="1">
        <v>15</v>
      </c>
      <c r="B189" s="1" t="s">
        <v>25</v>
      </c>
      <c r="C189" s="7" t="s">
        <v>2019</v>
      </c>
      <c r="D189" s="1" t="s">
        <v>2020</v>
      </c>
      <c r="E189" s="1" t="s">
        <v>2021</v>
      </c>
      <c r="F189" s="1" t="s">
        <v>884</v>
      </c>
      <c r="G189" s="1">
        <v>2015</v>
      </c>
      <c r="H189" s="1" t="s">
        <v>2022</v>
      </c>
      <c r="I189" s="4" t="s">
        <v>2024</v>
      </c>
      <c r="J189" s="4" t="s">
        <v>30</v>
      </c>
      <c r="K189" s="1" t="str">
        <f>CONCATENATE("011010166217","")</f>
        <v>011010166217</v>
      </c>
      <c r="L189" s="1" t="s">
        <v>31</v>
      </c>
      <c r="M189" s="1">
        <v>427.17</v>
      </c>
      <c r="N189" s="1" t="s">
        <v>2023</v>
      </c>
      <c r="O189" s="1">
        <v>2015</v>
      </c>
      <c r="P189" s="1"/>
      <c r="Q189" t="s">
        <v>51</v>
      </c>
      <c r="R189" t="s">
        <v>35</v>
      </c>
      <c r="T189">
        <v>218</v>
      </c>
      <c r="U189" t="s">
        <v>36</v>
      </c>
      <c r="W189" t="s">
        <v>1099</v>
      </c>
    </row>
    <row r="190" spans="1:23" ht="25.05" customHeight="1" x14ac:dyDescent="0.3">
      <c r="A190" s="1">
        <v>2</v>
      </c>
      <c r="B190" s="1" t="s">
        <v>25</v>
      </c>
      <c r="C190" s="7" t="s">
        <v>1989</v>
      </c>
      <c r="D190" s="1" t="s">
        <v>1990</v>
      </c>
      <c r="E190" s="1" t="s">
        <v>1509</v>
      </c>
      <c r="F190" s="1" t="s">
        <v>1991</v>
      </c>
      <c r="G190" s="1">
        <v>2010</v>
      </c>
      <c r="H190" s="1" t="s">
        <v>1992</v>
      </c>
      <c r="I190" s="4" t="s">
        <v>1994</v>
      </c>
      <c r="J190" s="4" t="s">
        <v>30</v>
      </c>
      <c r="K190" s="1" t="str">
        <f>CONCATENATE("011010128365","")</f>
        <v>011010128365</v>
      </c>
      <c r="L190" s="1" t="s">
        <v>31</v>
      </c>
      <c r="M190" s="1">
        <v>427.17</v>
      </c>
      <c r="N190" s="1" t="s">
        <v>1993</v>
      </c>
      <c r="O190" s="1">
        <v>2010</v>
      </c>
      <c r="P190" s="1"/>
      <c r="Q190" t="s">
        <v>51</v>
      </c>
      <c r="R190" t="s">
        <v>35</v>
      </c>
      <c r="T190">
        <v>187</v>
      </c>
      <c r="U190" t="s">
        <v>36</v>
      </c>
      <c r="W190" t="s">
        <v>471</v>
      </c>
    </row>
    <row r="191" spans="1:23" ht="25.05" customHeight="1" x14ac:dyDescent="0.3">
      <c r="A191" s="1">
        <v>156</v>
      </c>
      <c r="B191" s="1" t="s">
        <v>25</v>
      </c>
      <c r="C191" s="7" t="s">
        <v>874</v>
      </c>
      <c r="D191" s="1" t="s">
        <v>875</v>
      </c>
      <c r="E191" s="1" t="s">
        <v>876</v>
      </c>
      <c r="F191" s="1" t="s">
        <v>715</v>
      </c>
      <c r="G191" s="1">
        <v>2014</v>
      </c>
      <c r="H191" s="1" t="s">
        <v>877</v>
      </c>
      <c r="I191" s="4" t="s">
        <v>879</v>
      </c>
      <c r="J191" s="4" t="s">
        <v>30</v>
      </c>
      <c r="K191" s="1" t="str">
        <f>CONCATENATE("011010157728","")</f>
        <v>011010157728</v>
      </c>
      <c r="L191" s="1" t="s">
        <v>31</v>
      </c>
      <c r="M191" s="1">
        <v>427.17</v>
      </c>
      <c r="N191" s="1" t="s">
        <v>878</v>
      </c>
      <c r="O191" s="1">
        <v>2014</v>
      </c>
      <c r="P191" s="1"/>
      <c r="Q191" t="s">
        <v>51</v>
      </c>
      <c r="R191" t="s">
        <v>35</v>
      </c>
      <c r="T191">
        <v>198</v>
      </c>
      <c r="U191" t="s">
        <v>36</v>
      </c>
      <c r="W191" t="s">
        <v>880</v>
      </c>
    </row>
    <row r="192" spans="1:23" ht="25.05" customHeight="1" x14ac:dyDescent="0.3">
      <c r="A192" s="1">
        <v>267</v>
      </c>
      <c r="B192" s="1" t="s">
        <v>25</v>
      </c>
      <c r="C192" s="7" t="s">
        <v>1435</v>
      </c>
      <c r="D192" s="1" t="s">
        <v>1436</v>
      </c>
      <c r="E192" s="1" t="s">
        <v>1437</v>
      </c>
      <c r="F192" s="1">
        <v>2018</v>
      </c>
      <c r="G192" s="1">
        <v>2018</v>
      </c>
      <c r="H192" s="1" t="s">
        <v>1438</v>
      </c>
      <c r="I192" s="4" t="s">
        <v>1440</v>
      </c>
      <c r="J192" s="4" t="s">
        <v>30</v>
      </c>
      <c r="K192" s="1" t="str">
        <f>CONCATENATE("011010180305","")</f>
        <v>011010180305</v>
      </c>
      <c r="L192" s="1" t="s">
        <v>31</v>
      </c>
      <c r="M192" s="1">
        <v>427.17</v>
      </c>
      <c r="N192" s="1" t="s">
        <v>1439</v>
      </c>
      <c r="O192" s="1">
        <v>2018</v>
      </c>
      <c r="P192" s="1"/>
      <c r="Q192" t="s">
        <v>34</v>
      </c>
      <c r="R192" t="s">
        <v>35</v>
      </c>
      <c r="T192">
        <v>266</v>
      </c>
      <c r="U192" t="s">
        <v>36</v>
      </c>
      <c r="W192" t="s">
        <v>37</v>
      </c>
    </row>
    <row r="193" spans="1:23" ht="25.05" customHeight="1" x14ac:dyDescent="0.3">
      <c r="A193" s="1">
        <v>45</v>
      </c>
      <c r="B193" s="1" t="s">
        <v>25</v>
      </c>
      <c r="C193" s="7" t="s">
        <v>290</v>
      </c>
      <c r="D193" s="1"/>
      <c r="E193" s="1" t="s">
        <v>69</v>
      </c>
      <c r="F193" s="1" t="s">
        <v>225</v>
      </c>
      <c r="G193" s="1">
        <v>2007</v>
      </c>
      <c r="H193" s="1" t="s">
        <v>291</v>
      </c>
      <c r="I193" s="4" t="s">
        <v>292</v>
      </c>
      <c r="J193" s="4" t="s">
        <v>30</v>
      </c>
      <c r="K193" s="1" t="str">
        <f>CONCATENATE("011010099070","")</f>
        <v>011010099070</v>
      </c>
      <c r="L193" s="1" t="s">
        <v>31</v>
      </c>
      <c r="M193" s="1">
        <v>427.18</v>
      </c>
      <c r="N193" s="1" t="s">
        <v>288</v>
      </c>
      <c r="O193" s="1">
        <v>2007</v>
      </c>
      <c r="P193" s="1"/>
      <c r="Q193" t="s">
        <v>51</v>
      </c>
      <c r="R193" t="s">
        <v>35</v>
      </c>
      <c r="T193">
        <v>168</v>
      </c>
      <c r="U193" t="s">
        <v>36</v>
      </c>
      <c r="W193" t="s">
        <v>293</v>
      </c>
    </row>
    <row r="194" spans="1:23" ht="25.05" customHeight="1" x14ac:dyDescent="0.3">
      <c r="A194" s="1">
        <v>144</v>
      </c>
      <c r="B194" s="1" t="s">
        <v>25</v>
      </c>
      <c r="C194" s="7" t="s">
        <v>811</v>
      </c>
      <c r="D194" s="1" t="s">
        <v>812</v>
      </c>
      <c r="E194" s="1" t="s">
        <v>813</v>
      </c>
      <c r="F194" s="1" t="s">
        <v>715</v>
      </c>
      <c r="G194" s="1">
        <v>2014</v>
      </c>
      <c r="H194" s="1" t="s">
        <v>814</v>
      </c>
      <c r="I194" s="4" t="s">
        <v>816</v>
      </c>
      <c r="J194" s="4" t="s">
        <v>30</v>
      </c>
      <c r="K194" s="1" t="str">
        <f>CONCATENATE("011010151511","")</f>
        <v>011010151511</v>
      </c>
      <c r="L194" s="1" t="s">
        <v>31</v>
      </c>
      <c r="M194" s="1">
        <v>427.2</v>
      </c>
      <c r="N194" s="1" t="s">
        <v>815</v>
      </c>
      <c r="O194" s="1">
        <v>2014</v>
      </c>
      <c r="P194" s="1"/>
      <c r="Q194" t="s">
        <v>274</v>
      </c>
      <c r="R194" t="s">
        <v>35</v>
      </c>
      <c r="T194">
        <v>204</v>
      </c>
      <c r="U194" t="s">
        <v>36</v>
      </c>
      <c r="W194" t="s">
        <v>810</v>
      </c>
    </row>
    <row r="195" spans="1:23" ht="25.05" customHeight="1" x14ac:dyDescent="0.3">
      <c r="A195" s="1">
        <v>118</v>
      </c>
      <c r="B195" s="1" t="s">
        <v>25</v>
      </c>
      <c r="C195" s="7" t="s">
        <v>657</v>
      </c>
      <c r="D195" s="1" t="s">
        <v>658</v>
      </c>
      <c r="E195" s="1" t="s">
        <v>659</v>
      </c>
      <c r="F195" s="1">
        <v>2012</v>
      </c>
      <c r="G195" s="1">
        <v>2012</v>
      </c>
      <c r="H195" s="1" t="s">
        <v>660</v>
      </c>
      <c r="I195" s="4" t="s">
        <v>662</v>
      </c>
      <c r="J195" s="4" t="s">
        <v>30</v>
      </c>
      <c r="K195" s="1" t="str">
        <f>CONCATENATE("011010141129","")</f>
        <v>011010141129</v>
      </c>
      <c r="L195" s="1" t="s">
        <v>31</v>
      </c>
      <c r="M195" s="1">
        <v>427.2</v>
      </c>
      <c r="N195" s="1" t="s">
        <v>661</v>
      </c>
      <c r="O195" s="1">
        <v>2012</v>
      </c>
      <c r="P195" s="1"/>
      <c r="Q195" t="s">
        <v>51</v>
      </c>
      <c r="R195" t="s">
        <v>35</v>
      </c>
      <c r="T195">
        <v>413</v>
      </c>
      <c r="U195" t="s">
        <v>36</v>
      </c>
      <c r="W195" t="s">
        <v>656</v>
      </c>
    </row>
    <row r="196" spans="1:23" ht="25.05" customHeight="1" x14ac:dyDescent="0.3">
      <c r="A196" s="1">
        <v>246</v>
      </c>
      <c r="B196" s="1" t="s">
        <v>25</v>
      </c>
      <c r="C196" s="7" t="s">
        <v>1321</v>
      </c>
      <c r="D196" s="1"/>
      <c r="E196" s="1" t="s">
        <v>1322</v>
      </c>
      <c r="F196" s="1">
        <v>2014</v>
      </c>
      <c r="G196" s="1">
        <v>2014</v>
      </c>
      <c r="H196" s="1" t="s">
        <v>1323</v>
      </c>
      <c r="I196" s="4" t="s">
        <v>1325</v>
      </c>
      <c r="J196" s="4" t="s">
        <v>30</v>
      </c>
      <c r="K196" s="1" t="str">
        <f>CONCATENATE("011010179043","")</f>
        <v>011010179043</v>
      </c>
      <c r="L196" s="1" t="s">
        <v>31</v>
      </c>
      <c r="M196" s="1">
        <v>427.25</v>
      </c>
      <c r="N196" s="1" t="s">
        <v>1324</v>
      </c>
      <c r="O196" s="1">
        <v>2014</v>
      </c>
      <c r="P196" s="1"/>
      <c r="Q196" t="s">
        <v>51</v>
      </c>
      <c r="R196" t="s">
        <v>35</v>
      </c>
      <c r="T196">
        <v>205</v>
      </c>
      <c r="U196" t="s">
        <v>36</v>
      </c>
      <c r="W196" t="s">
        <v>1314</v>
      </c>
    </row>
    <row r="197" spans="1:23" ht="25.05" customHeight="1" x14ac:dyDescent="0.3">
      <c r="A197" s="1">
        <v>196</v>
      </c>
      <c r="B197" s="1" t="s">
        <v>25</v>
      </c>
      <c r="C197" s="7" t="s">
        <v>1088</v>
      </c>
      <c r="D197" s="1" t="s">
        <v>1089</v>
      </c>
      <c r="E197" s="1" t="s">
        <v>652</v>
      </c>
      <c r="F197" s="1" t="s">
        <v>884</v>
      </c>
      <c r="G197" s="1">
        <v>2015</v>
      </c>
      <c r="H197" s="1" t="s">
        <v>1090</v>
      </c>
      <c r="I197" s="4" t="s">
        <v>1092</v>
      </c>
      <c r="J197" s="4" t="s">
        <v>30</v>
      </c>
      <c r="K197" s="1" t="str">
        <f>CONCATENATE("011010165929","")</f>
        <v>011010165929</v>
      </c>
      <c r="L197" s="1" t="s">
        <v>31</v>
      </c>
      <c r="M197" s="1">
        <v>427.25</v>
      </c>
      <c r="N197" s="1" t="s">
        <v>1091</v>
      </c>
      <c r="O197" s="1">
        <v>2015</v>
      </c>
      <c r="P197" s="1"/>
      <c r="Q197" t="s">
        <v>51</v>
      </c>
      <c r="R197" t="s">
        <v>35</v>
      </c>
      <c r="T197">
        <v>572</v>
      </c>
      <c r="U197" t="s">
        <v>36</v>
      </c>
      <c r="W197" t="s">
        <v>1081</v>
      </c>
    </row>
    <row r="198" spans="1:23" ht="25.05" customHeight="1" x14ac:dyDescent="0.3">
      <c r="A198" s="1">
        <v>475</v>
      </c>
      <c r="B198" s="1" t="s">
        <v>25</v>
      </c>
      <c r="C198" s="7" t="s">
        <v>1791</v>
      </c>
      <c r="D198" s="1" t="s">
        <v>135</v>
      </c>
      <c r="E198" s="1" t="s">
        <v>117</v>
      </c>
      <c r="F198" s="1" t="s">
        <v>1792</v>
      </c>
      <c r="G198" s="1">
        <v>1998</v>
      </c>
      <c r="H198" s="1" t="s">
        <v>1793</v>
      </c>
      <c r="I198" s="4" t="s">
        <v>1794</v>
      </c>
      <c r="J198" s="4" t="s">
        <v>30</v>
      </c>
      <c r="K198" s="1" t="str">
        <f>CONCATENATE("031010002942","")</f>
        <v>031010002942</v>
      </c>
      <c r="L198" s="1" t="s">
        <v>31</v>
      </c>
      <c r="M198" s="1">
        <v>427.25</v>
      </c>
      <c r="N198" s="1" t="s">
        <v>137</v>
      </c>
      <c r="O198" s="1">
        <v>88</v>
      </c>
      <c r="P198" s="1"/>
      <c r="Q198" t="s">
        <v>51</v>
      </c>
      <c r="R198" t="s">
        <v>35</v>
      </c>
      <c r="T198">
        <v>0</v>
      </c>
      <c r="U198" t="s">
        <v>36</v>
      </c>
    </row>
    <row r="199" spans="1:23" ht="25.05" customHeight="1" x14ac:dyDescent="0.3">
      <c r="A199" s="1">
        <v>68</v>
      </c>
      <c r="B199" s="1" t="s">
        <v>25</v>
      </c>
      <c r="C199" s="7" t="s">
        <v>385</v>
      </c>
      <c r="D199" s="1" t="s">
        <v>386</v>
      </c>
      <c r="E199" s="1" t="s">
        <v>69</v>
      </c>
      <c r="F199" s="1" t="s">
        <v>62</v>
      </c>
      <c r="G199" s="1">
        <v>2005</v>
      </c>
      <c r="H199" s="1" t="s">
        <v>387</v>
      </c>
      <c r="I199" s="4" t="s">
        <v>389</v>
      </c>
      <c r="J199" s="4" t="s">
        <v>30</v>
      </c>
      <c r="K199" s="1" t="str">
        <f>CONCATENATE("011010120062","")</f>
        <v>011010120062</v>
      </c>
      <c r="L199" s="1" t="s">
        <v>31</v>
      </c>
      <c r="M199" s="1">
        <v>427.25</v>
      </c>
      <c r="N199" s="1" t="s">
        <v>388</v>
      </c>
      <c r="O199" s="1">
        <v>2005</v>
      </c>
      <c r="P199" s="1"/>
      <c r="Q199" t="s">
        <v>51</v>
      </c>
      <c r="R199" t="s">
        <v>35</v>
      </c>
      <c r="T199">
        <v>250</v>
      </c>
      <c r="U199" t="s">
        <v>36</v>
      </c>
      <c r="W199" t="s">
        <v>390</v>
      </c>
    </row>
    <row r="200" spans="1:23" ht="25.05" customHeight="1" x14ac:dyDescent="0.3">
      <c r="A200" s="1">
        <v>263</v>
      </c>
      <c r="B200" s="1" t="s">
        <v>25</v>
      </c>
      <c r="C200" s="7" t="s">
        <v>1418</v>
      </c>
      <c r="D200" s="1" t="s">
        <v>1419</v>
      </c>
      <c r="E200" s="1" t="s">
        <v>813</v>
      </c>
      <c r="F200" s="1">
        <v>2017</v>
      </c>
      <c r="G200" s="1">
        <v>2017</v>
      </c>
      <c r="H200" s="1" t="s">
        <v>1420</v>
      </c>
      <c r="I200" s="4" t="s">
        <v>1422</v>
      </c>
      <c r="J200" s="4" t="s">
        <v>30</v>
      </c>
      <c r="K200" s="1" t="str">
        <f>CONCATENATE("011010179986","")</f>
        <v>011010179986</v>
      </c>
      <c r="L200" s="1" t="s">
        <v>31</v>
      </c>
      <c r="M200" s="1">
        <v>427.25</v>
      </c>
      <c r="N200" s="1" t="s">
        <v>1421</v>
      </c>
      <c r="O200" s="1">
        <v>2017</v>
      </c>
      <c r="P200" s="1" t="s">
        <v>360</v>
      </c>
      <c r="Q200" t="s">
        <v>274</v>
      </c>
      <c r="R200" t="s">
        <v>35</v>
      </c>
      <c r="T200">
        <v>268</v>
      </c>
      <c r="U200" t="s">
        <v>36</v>
      </c>
      <c r="W200" t="s">
        <v>1357</v>
      </c>
    </row>
    <row r="201" spans="1:23" ht="25.05" customHeight="1" x14ac:dyDescent="0.3">
      <c r="A201" s="1">
        <v>55</v>
      </c>
      <c r="B201" s="1" t="s">
        <v>25</v>
      </c>
      <c r="C201" s="7" t="s">
        <v>337</v>
      </c>
      <c r="D201" s="1" t="s">
        <v>338</v>
      </c>
      <c r="E201" s="1" t="s">
        <v>339</v>
      </c>
      <c r="F201" s="1" t="s">
        <v>167</v>
      </c>
      <c r="G201" s="1">
        <v>2002</v>
      </c>
      <c r="H201" s="1" t="s">
        <v>340</v>
      </c>
      <c r="I201" s="4" t="s">
        <v>342</v>
      </c>
      <c r="J201" s="4" t="s">
        <v>30</v>
      </c>
      <c r="K201" s="1" t="str">
        <f>CONCATENATE("011010107651","")</f>
        <v>011010107651</v>
      </c>
      <c r="L201" s="1" t="s">
        <v>31</v>
      </c>
      <c r="M201" s="1">
        <v>427.25200000000001</v>
      </c>
      <c r="N201" s="1" t="s">
        <v>341</v>
      </c>
      <c r="O201" s="1"/>
      <c r="P201" s="1"/>
      <c r="Q201" t="s">
        <v>51</v>
      </c>
      <c r="R201" t="s">
        <v>35</v>
      </c>
      <c r="T201">
        <v>280</v>
      </c>
      <c r="U201" t="s">
        <v>36</v>
      </c>
      <c r="W201" t="s">
        <v>336</v>
      </c>
    </row>
    <row r="202" spans="1:23" ht="25.05" customHeight="1" x14ac:dyDescent="0.3">
      <c r="A202" s="1">
        <v>20</v>
      </c>
      <c r="B202" s="1" t="s">
        <v>25</v>
      </c>
      <c r="C202" s="7" t="s">
        <v>170</v>
      </c>
      <c r="D202" s="1" t="s">
        <v>171</v>
      </c>
      <c r="E202" s="1" t="s">
        <v>69</v>
      </c>
      <c r="F202" s="1" t="s">
        <v>130</v>
      </c>
      <c r="G202" s="1">
        <v>1999</v>
      </c>
      <c r="H202" s="1" t="s">
        <v>172</v>
      </c>
      <c r="I202" s="4" t="s">
        <v>174</v>
      </c>
      <c r="J202" s="4" t="s">
        <v>30</v>
      </c>
      <c r="K202" s="1" t="str">
        <f>CONCATENATE("011010072864","")</f>
        <v>011010072864</v>
      </c>
      <c r="L202" s="1" t="s">
        <v>31</v>
      </c>
      <c r="M202" s="1">
        <v>427.25200000000001</v>
      </c>
      <c r="N202" s="1" t="s">
        <v>173</v>
      </c>
      <c r="O202" s="1"/>
      <c r="P202" s="1"/>
      <c r="Q202" t="s">
        <v>51</v>
      </c>
      <c r="R202" t="s">
        <v>35</v>
      </c>
      <c r="T202">
        <v>149</v>
      </c>
      <c r="U202" t="s">
        <v>36</v>
      </c>
    </row>
    <row r="203" spans="1:23" ht="25.05" customHeight="1" x14ac:dyDescent="0.3">
      <c r="A203" s="1">
        <v>142</v>
      </c>
      <c r="B203" s="1" t="s">
        <v>25</v>
      </c>
      <c r="C203" s="7" t="s">
        <v>798</v>
      </c>
      <c r="D203" s="1" t="s">
        <v>799</v>
      </c>
      <c r="E203" s="1" t="s">
        <v>800</v>
      </c>
      <c r="F203" s="1" t="s">
        <v>515</v>
      </c>
      <c r="G203" s="1">
        <v>2011</v>
      </c>
      <c r="H203" s="1" t="s">
        <v>801</v>
      </c>
      <c r="I203" s="4" t="s">
        <v>803</v>
      </c>
      <c r="J203" s="4" t="s">
        <v>30</v>
      </c>
      <c r="K203" s="1" t="str">
        <f>CONCATENATE("011010151199","")</f>
        <v>011010151199</v>
      </c>
      <c r="L203" s="1" t="s">
        <v>31</v>
      </c>
      <c r="M203" s="1">
        <v>427.25200000000001</v>
      </c>
      <c r="N203" s="1" t="s">
        <v>802</v>
      </c>
      <c r="O203" s="1">
        <v>2011</v>
      </c>
      <c r="P203" s="1"/>
      <c r="Q203" t="s">
        <v>51</v>
      </c>
      <c r="R203" t="s">
        <v>35</v>
      </c>
      <c r="T203">
        <v>123</v>
      </c>
      <c r="U203" t="s">
        <v>36</v>
      </c>
      <c r="W203" t="s">
        <v>785</v>
      </c>
    </row>
    <row r="204" spans="1:23" ht="25.05" customHeight="1" x14ac:dyDescent="0.3">
      <c r="A204" s="1">
        <v>143</v>
      </c>
      <c r="B204" s="1" t="s">
        <v>25</v>
      </c>
      <c r="C204" s="7" t="s">
        <v>804</v>
      </c>
      <c r="D204" s="1" t="s">
        <v>805</v>
      </c>
      <c r="E204" s="1" t="s">
        <v>806</v>
      </c>
      <c r="F204" s="1" t="s">
        <v>715</v>
      </c>
      <c r="G204" s="1">
        <v>2014</v>
      </c>
      <c r="H204" s="1" t="s">
        <v>807</v>
      </c>
      <c r="I204" s="4" t="s">
        <v>809</v>
      </c>
      <c r="J204" s="4" t="s">
        <v>30</v>
      </c>
      <c r="K204" s="1" t="str">
        <f>CONCATENATE("011010151503","")</f>
        <v>011010151503</v>
      </c>
      <c r="L204" s="1" t="s">
        <v>31</v>
      </c>
      <c r="M204" s="1">
        <v>427.25200000000001</v>
      </c>
      <c r="N204" s="1" t="s">
        <v>808</v>
      </c>
      <c r="O204" s="1">
        <v>2014</v>
      </c>
      <c r="P204" s="1"/>
      <c r="Q204" t="s">
        <v>51</v>
      </c>
      <c r="R204" t="s">
        <v>35</v>
      </c>
      <c r="T204">
        <v>364</v>
      </c>
      <c r="U204" t="s">
        <v>36</v>
      </c>
      <c r="W204" t="s">
        <v>810</v>
      </c>
    </row>
    <row r="205" spans="1:23" ht="25.05" customHeight="1" x14ac:dyDescent="0.3">
      <c r="A205" s="1">
        <v>260</v>
      </c>
      <c r="B205" s="1" t="s">
        <v>25</v>
      </c>
      <c r="C205" s="7" t="s">
        <v>1402</v>
      </c>
      <c r="D205" s="1" t="s">
        <v>1403</v>
      </c>
      <c r="E205" s="1" t="s">
        <v>677</v>
      </c>
      <c r="F205" s="1">
        <v>2018</v>
      </c>
      <c r="G205" s="1">
        <v>2018</v>
      </c>
      <c r="H205" s="1" t="s">
        <v>1404</v>
      </c>
      <c r="I205" s="4" t="s">
        <v>1406</v>
      </c>
      <c r="J205" s="4" t="s">
        <v>30</v>
      </c>
      <c r="K205" s="1" t="str">
        <f>CONCATENATE("011010179808","")</f>
        <v>011010179808</v>
      </c>
      <c r="L205" s="1" t="s">
        <v>31</v>
      </c>
      <c r="M205" s="1">
        <v>427.26</v>
      </c>
      <c r="N205" s="1" t="s">
        <v>1405</v>
      </c>
      <c r="O205" s="1">
        <v>2018</v>
      </c>
      <c r="P205" s="1"/>
      <c r="Q205" t="s">
        <v>274</v>
      </c>
      <c r="R205" t="s">
        <v>35</v>
      </c>
      <c r="T205">
        <v>268</v>
      </c>
      <c r="U205" t="s">
        <v>36</v>
      </c>
      <c r="W205" t="s">
        <v>1357</v>
      </c>
    </row>
    <row r="206" spans="1:23" ht="25.05" customHeight="1" x14ac:dyDescent="0.3">
      <c r="A206" s="1">
        <v>109</v>
      </c>
      <c r="B206" s="1" t="s">
        <v>25</v>
      </c>
      <c r="C206" s="7" t="s">
        <v>607</v>
      </c>
      <c r="D206" s="1" t="s">
        <v>608</v>
      </c>
      <c r="E206" s="1" t="s">
        <v>609</v>
      </c>
      <c r="F206" s="1">
        <v>2011</v>
      </c>
      <c r="G206" s="1">
        <v>2011</v>
      </c>
      <c r="H206" s="1"/>
      <c r="I206" s="4" t="s">
        <v>611</v>
      </c>
      <c r="J206" s="4" t="s">
        <v>30</v>
      </c>
      <c r="K206" s="1" t="str">
        <f>CONCATENATE("011010140041","")</f>
        <v>011010140041</v>
      </c>
      <c r="L206" s="1" t="s">
        <v>31</v>
      </c>
      <c r="M206" s="1">
        <v>427.3</v>
      </c>
      <c r="N206" s="1" t="s">
        <v>610</v>
      </c>
      <c r="O206" s="1">
        <v>2011</v>
      </c>
      <c r="P206" s="1"/>
      <c r="Q206" t="s">
        <v>51</v>
      </c>
      <c r="R206" t="s">
        <v>35</v>
      </c>
      <c r="T206">
        <v>123</v>
      </c>
      <c r="U206" t="s">
        <v>36</v>
      </c>
      <c r="W206" t="s">
        <v>580</v>
      </c>
    </row>
    <row r="207" spans="1:23" ht="25.05" customHeight="1" x14ac:dyDescent="0.3">
      <c r="A207" s="1">
        <v>56</v>
      </c>
      <c r="B207" s="1" t="s">
        <v>25</v>
      </c>
      <c r="C207" s="7" t="s">
        <v>343</v>
      </c>
      <c r="D207" s="1" t="s">
        <v>344</v>
      </c>
      <c r="E207" s="1" t="s">
        <v>345</v>
      </c>
      <c r="F207" s="1" t="s">
        <v>259</v>
      </c>
      <c r="G207" s="1">
        <v>2008</v>
      </c>
      <c r="H207" s="1"/>
      <c r="I207" s="4" t="s">
        <v>347</v>
      </c>
      <c r="J207" s="4" t="s">
        <v>30</v>
      </c>
      <c r="K207" s="1" t="str">
        <f>CONCATENATE("011010113038","")</f>
        <v>011010113038</v>
      </c>
      <c r="L207" s="1" t="s">
        <v>31</v>
      </c>
      <c r="M207" s="1">
        <v>427.3</v>
      </c>
      <c r="N207" s="1" t="s">
        <v>346</v>
      </c>
      <c r="O207" s="1">
        <v>2008</v>
      </c>
      <c r="P207" s="1"/>
      <c r="Q207" t="s">
        <v>51</v>
      </c>
      <c r="R207" t="s">
        <v>35</v>
      </c>
      <c r="T207">
        <v>187</v>
      </c>
      <c r="U207" t="s">
        <v>36</v>
      </c>
      <c r="W207" t="s">
        <v>348</v>
      </c>
    </row>
    <row r="208" spans="1:23" ht="25.05" customHeight="1" x14ac:dyDescent="0.3">
      <c r="A208" s="1">
        <v>129</v>
      </c>
      <c r="B208" s="1" t="s">
        <v>25</v>
      </c>
      <c r="C208" s="7" t="s">
        <v>712</v>
      </c>
      <c r="D208" s="1" t="s">
        <v>713</v>
      </c>
      <c r="E208" s="1" t="s">
        <v>714</v>
      </c>
      <c r="F208" s="1" t="s">
        <v>715</v>
      </c>
      <c r="G208" s="1">
        <v>2014</v>
      </c>
      <c r="H208" s="1" t="s">
        <v>716</v>
      </c>
      <c r="I208" s="4" t="s">
        <v>718</v>
      </c>
      <c r="J208" s="4" t="s">
        <v>30</v>
      </c>
      <c r="K208" s="1" t="str">
        <f>CONCATENATE("011010142437","")</f>
        <v>011010142437</v>
      </c>
      <c r="L208" s="1" t="s">
        <v>31</v>
      </c>
      <c r="M208" s="1">
        <v>427.3</v>
      </c>
      <c r="N208" s="1" t="s">
        <v>717</v>
      </c>
      <c r="O208" s="1">
        <v>2014</v>
      </c>
      <c r="P208" s="1"/>
      <c r="Q208" t="s">
        <v>51</v>
      </c>
      <c r="R208" t="s">
        <v>35</v>
      </c>
      <c r="T208">
        <v>323</v>
      </c>
      <c r="U208" t="s">
        <v>36</v>
      </c>
      <c r="W208" t="s">
        <v>719</v>
      </c>
    </row>
    <row r="209" spans="1:23" ht="25.05" customHeight="1" x14ac:dyDescent="0.3">
      <c r="A209" s="1">
        <v>232</v>
      </c>
      <c r="B209" s="1" t="s">
        <v>25</v>
      </c>
      <c r="C209" s="7" t="s">
        <v>1242</v>
      </c>
      <c r="D209" s="1" t="s">
        <v>1101</v>
      </c>
      <c r="E209" s="1" t="s">
        <v>1102</v>
      </c>
      <c r="F209" s="1">
        <v>2017</v>
      </c>
      <c r="G209" s="1">
        <v>2017</v>
      </c>
      <c r="H209" s="1" t="s">
        <v>1243</v>
      </c>
      <c r="I209" s="4" t="s">
        <v>1244</v>
      </c>
      <c r="J209" s="4" t="s">
        <v>30</v>
      </c>
      <c r="K209" s="1" t="str">
        <f>CONCATENATE("011010175517","")</f>
        <v>011010175517</v>
      </c>
      <c r="L209" s="1" t="s">
        <v>31</v>
      </c>
      <c r="M209" s="1">
        <v>427.3</v>
      </c>
      <c r="N209" s="1" t="s">
        <v>1104</v>
      </c>
      <c r="O209" s="1">
        <v>2017</v>
      </c>
      <c r="P209" s="1"/>
      <c r="Q209" t="s">
        <v>51</v>
      </c>
      <c r="R209" t="s">
        <v>35</v>
      </c>
      <c r="T209">
        <v>255</v>
      </c>
      <c r="U209" t="s">
        <v>36</v>
      </c>
      <c r="W209" t="s">
        <v>1223</v>
      </c>
    </row>
    <row r="210" spans="1:23" ht="25.05" customHeight="1" x14ac:dyDescent="0.3">
      <c r="A210" s="1">
        <v>18</v>
      </c>
      <c r="B210" s="1" t="s">
        <v>25</v>
      </c>
      <c r="C210" s="7" t="s">
        <v>159</v>
      </c>
      <c r="D210" s="1" t="s">
        <v>153</v>
      </c>
      <c r="E210" s="1" t="s">
        <v>154</v>
      </c>
      <c r="F210" s="1" t="s">
        <v>160</v>
      </c>
      <c r="G210" s="1">
        <v>2001</v>
      </c>
      <c r="H210" s="1" t="s">
        <v>161</v>
      </c>
      <c r="I210" s="4" t="s">
        <v>163</v>
      </c>
      <c r="J210" s="4" t="s">
        <v>30</v>
      </c>
      <c r="K210" s="1" t="str">
        <f>CONCATENATE("011010071285","")</f>
        <v>011010071285</v>
      </c>
      <c r="L210" s="1" t="s">
        <v>31</v>
      </c>
      <c r="M210" s="1">
        <v>427.31</v>
      </c>
      <c r="N210" s="1" t="s">
        <v>162</v>
      </c>
      <c r="O210" s="1"/>
      <c r="P210" s="1"/>
      <c r="Q210" t="s">
        <v>51</v>
      </c>
      <c r="R210" t="s">
        <v>35</v>
      </c>
      <c r="T210">
        <v>290</v>
      </c>
      <c r="U210" t="s">
        <v>36</v>
      </c>
      <c r="W210" t="s">
        <v>158</v>
      </c>
    </row>
    <row r="211" spans="1:23" ht="25.05" customHeight="1" x14ac:dyDescent="0.3">
      <c r="A211" s="1">
        <v>7</v>
      </c>
      <c r="B211" s="1" t="s">
        <v>25</v>
      </c>
      <c r="C211" s="7" t="s">
        <v>85</v>
      </c>
      <c r="D211" s="1" t="s">
        <v>86</v>
      </c>
      <c r="E211" s="1" t="s">
        <v>87</v>
      </c>
      <c r="F211" s="1" t="s">
        <v>62</v>
      </c>
      <c r="G211" s="1">
        <v>2005</v>
      </c>
      <c r="H211" s="1" t="s">
        <v>88</v>
      </c>
      <c r="I211" s="4" t="s">
        <v>90</v>
      </c>
      <c r="J211" s="4" t="s">
        <v>30</v>
      </c>
      <c r="K211" s="1" t="str">
        <f>CONCATENATE("011010048520","")</f>
        <v>011010048520</v>
      </c>
      <c r="L211" s="1" t="s">
        <v>31</v>
      </c>
      <c r="M211" s="1">
        <v>427.31</v>
      </c>
      <c r="N211" s="1" t="s">
        <v>89</v>
      </c>
      <c r="O211" s="1">
        <v>2005</v>
      </c>
      <c r="P211" s="1"/>
      <c r="Q211" t="s">
        <v>51</v>
      </c>
      <c r="R211" t="s">
        <v>35</v>
      </c>
      <c r="T211">
        <v>232</v>
      </c>
      <c r="U211" t="s">
        <v>36</v>
      </c>
      <c r="W211" t="s">
        <v>91</v>
      </c>
    </row>
    <row r="212" spans="1:23" ht="25.05" customHeight="1" x14ac:dyDescent="0.3">
      <c r="A212" s="1">
        <v>14</v>
      </c>
      <c r="B212" s="1" t="s">
        <v>25</v>
      </c>
      <c r="C212" s="7" t="s">
        <v>134</v>
      </c>
      <c r="D212" s="1" t="s">
        <v>135</v>
      </c>
      <c r="E212" s="1" t="s">
        <v>69</v>
      </c>
      <c r="F212" s="1" t="s">
        <v>130</v>
      </c>
      <c r="G212" s="1">
        <v>1999</v>
      </c>
      <c r="H212" s="1" t="s">
        <v>136</v>
      </c>
      <c r="I212" s="4" t="s">
        <v>138</v>
      </c>
      <c r="J212" s="4" t="s">
        <v>30</v>
      </c>
      <c r="K212" s="1" t="str">
        <f>CONCATENATE("011010063743","")</f>
        <v>011010063743</v>
      </c>
      <c r="L212" s="1" t="s">
        <v>31</v>
      </c>
      <c r="M212" s="1">
        <v>427.31</v>
      </c>
      <c r="N212" s="1" t="s">
        <v>137</v>
      </c>
      <c r="O212" s="1"/>
      <c r="P212" s="1"/>
      <c r="Q212" t="s">
        <v>51</v>
      </c>
      <c r="R212" t="s">
        <v>35</v>
      </c>
      <c r="T212">
        <v>250</v>
      </c>
      <c r="U212" t="s">
        <v>36</v>
      </c>
    </row>
    <row r="213" spans="1:23" ht="25.05" customHeight="1" x14ac:dyDescent="0.3">
      <c r="A213" s="1">
        <v>140</v>
      </c>
      <c r="B213" s="1" t="s">
        <v>25</v>
      </c>
      <c r="C213" s="7" t="s">
        <v>786</v>
      </c>
      <c r="D213" s="1" t="s">
        <v>787</v>
      </c>
      <c r="E213" s="1" t="s">
        <v>788</v>
      </c>
      <c r="F213" s="1" t="s">
        <v>701</v>
      </c>
      <c r="G213" s="1">
        <v>2013</v>
      </c>
      <c r="H213" s="1" t="s">
        <v>789</v>
      </c>
      <c r="I213" s="4" t="s">
        <v>791</v>
      </c>
      <c r="J213" s="4" t="s">
        <v>30</v>
      </c>
      <c r="K213" s="1" t="str">
        <f>CONCATENATE("011010151160","")</f>
        <v>011010151160</v>
      </c>
      <c r="L213" s="1" t="s">
        <v>31</v>
      </c>
      <c r="M213" s="1">
        <v>427.31</v>
      </c>
      <c r="N213" s="1" t="s">
        <v>790</v>
      </c>
      <c r="O213" s="1">
        <v>2013</v>
      </c>
      <c r="P213" s="1"/>
      <c r="Q213" t="s">
        <v>51</v>
      </c>
      <c r="R213" t="s">
        <v>35</v>
      </c>
      <c r="T213">
        <v>175</v>
      </c>
      <c r="U213" t="s">
        <v>36</v>
      </c>
      <c r="W213" t="s">
        <v>785</v>
      </c>
    </row>
    <row r="214" spans="1:23" ht="25.05" customHeight="1" x14ac:dyDescent="0.3">
      <c r="A214" s="1">
        <v>199</v>
      </c>
      <c r="B214" s="1" t="s">
        <v>25</v>
      </c>
      <c r="C214" s="7" t="s">
        <v>1106</v>
      </c>
      <c r="D214" s="1" t="s">
        <v>1107</v>
      </c>
      <c r="E214" s="1" t="s">
        <v>277</v>
      </c>
      <c r="F214" s="1" t="s">
        <v>995</v>
      </c>
      <c r="G214" s="1">
        <v>2016</v>
      </c>
      <c r="H214" s="1" t="s">
        <v>1108</v>
      </c>
      <c r="I214" s="4" t="s">
        <v>1110</v>
      </c>
      <c r="J214" s="4" t="s">
        <v>30</v>
      </c>
      <c r="K214" s="1" t="str">
        <f>CONCATENATE("011010166500","")</f>
        <v>011010166500</v>
      </c>
      <c r="L214" s="1" t="s">
        <v>31</v>
      </c>
      <c r="M214" s="1">
        <v>427.31</v>
      </c>
      <c r="N214" s="1" t="s">
        <v>1109</v>
      </c>
      <c r="O214" s="1">
        <v>2016</v>
      </c>
      <c r="P214" s="1"/>
      <c r="Q214" t="s">
        <v>51</v>
      </c>
      <c r="R214" t="s">
        <v>35</v>
      </c>
      <c r="T214">
        <v>247</v>
      </c>
      <c r="U214" t="s">
        <v>36</v>
      </c>
      <c r="W214" t="s">
        <v>1111</v>
      </c>
    </row>
    <row r="215" spans="1:23" ht="25.05" customHeight="1" x14ac:dyDescent="0.3">
      <c r="A215" s="1">
        <v>237</v>
      </c>
      <c r="B215" s="1" t="s">
        <v>25</v>
      </c>
      <c r="C215" s="7" t="s">
        <v>1270</v>
      </c>
      <c r="D215" s="1" t="s">
        <v>250</v>
      </c>
      <c r="E215" s="1" t="s">
        <v>932</v>
      </c>
      <c r="F215" s="1" t="s">
        <v>1135</v>
      </c>
      <c r="G215" s="1">
        <v>2017</v>
      </c>
      <c r="H215" s="1" t="s">
        <v>1271</v>
      </c>
      <c r="I215" s="4" t="s">
        <v>1273</v>
      </c>
      <c r="J215" s="4" t="s">
        <v>30</v>
      </c>
      <c r="K215" s="1" t="str">
        <f>CONCATENATE("011010175947","")</f>
        <v>011010175947</v>
      </c>
      <c r="L215" s="1" t="s">
        <v>31</v>
      </c>
      <c r="M215" s="1">
        <v>427.31</v>
      </c>
      <c r="N215" s="1" t="s">
        <v>1272</v>
      </c>
      <c r="O215" s="1">
        <v>2017</v>
      </c>
      <c r="P215" s="1"/>
      <c r="Q215" t="s">
        <v>51</v>
      </c>
      <c r="R215" t="s">
        <v>35</v>
      </c>
      <c r="T215">
        <v>284</v>
      </c>
      <c r="U215" t="s">
        <v>36</v>
      </c>
      <c r="W215" t="s">
        <v>1251</v>
      </c>
    </row>
    <row r="216" spans="1:23" ht="25.05" customHeight="1" x14ac:dyDescent="0.3">
      <c r="A216" s="1">
        <v>106</v>
      </c>
      <c r="B216" s="1" t="s">
        <v>25</v>
      </c>
      <c r="C216" s="7" t="s">
        <v>586</v>
      </c>
      <c r="D216" s="1" t="s">
        <v>587</v>
      </c>
      <c r="E216" s="1" t="s">
        <v>141</v>
      </c>
      <c r="F216" s="1" t="s">
        <v>588</v>
      </c>
      <c r="G216" s="1">
        <v>1987</v>
      </c>
      <c r="H216" s="1" t="s">
        <v>589</v>
      </c>
      <c r="I216" s="4" t="s">
        <v>591</v>
      </c>
      <c r="J216" s="4" t="s">
        <v>30</v>
      </c>
      <c r="K216" s="1" t="str">
        <f>CONCATENATE("011010137759","")</f>
        <v>011010137759</v>
      </c>
      <c r="L216" s="1" t="s">
        <v>31</v>
      </c>
      <c r="M216" s="1">
        <v>427.31</v>
      </c>
      <c r="N216" s="1" t="s">
        <v>590</v>
      </c>
      <c r="O216" s="1">
        <v>1987</v>
      </c>
      <c r="P216" s="1"/>
      <c r="Q216" t="s">
        <v>51</v>
      </c>
      <c r="R216" t="s">
        <v>35</v>
      </c>
      <c r="T216">
        <v>100</v>
      </c>
      <c r="U216" t="s">
        <v>36</v>
      </c>
      <c r="W216" t="s">
        <v>592</v>
      </c>
    </row>
    <row r="217" spans="1:23" ht="25.05" customHeight="1" x14ac:dyDescent="0.3">
      <c r="A217" s="1">
        <v>70</v>
      </c>
      <c r="B217" s="1" t="s">
        <v>25</v>
      </c>
      <c r="C217" s="7" t="s">
        <v>399</v>
      </c>
      <c r="D217" s="1" t="s">
        <v>400</v>
      </c>
      <c r="E217" s="1" t="s">
        <v>401</v>
      </c>
      <c r="F217" s="1" t="s">
        <v>394</v>
      </c>
      <c r="G217" s="1">
        <v>2009</v>
      </c>
      <c r="H217" s="1"/>
      <c r="I217" s="4" t="s">
        <v>403</v>
      </c>
      <c r="J217" s="4" t="s">
        <v>30</v>
      </c>
      <c r="K217" s="1" t="str">
        <f>CONCATENATE("011010120945","")</f>
        <v>011010120945</v>
      </c>
      <c r="L217" s="1" t="s">
        <v>31</v>
      </c>
      <c r="M217" s="1">
        <v>427.31</v>
      </c>
      <c r="N217" s="1" t="s">
        <v>402</v>
      </c>
      <c r="O217" s="1">
        <v>2009</v>
      </c>
      <c r="P217" s="1"/>
      <c r="Q217" t="s">
        <v>51</v>
      </c>
      <c r="R217" t="s">
        <v>35</v>
      </c>
      <c r="T217">
        <v>89</v>
      </c>
      <c r="U217" t="s">
        <v>36</v>
      </c>
      <c r="W217" t="s">
        <v>398</v>
      </c>
    </row>
    <row r="218" spans="1:23" ht="25.05" customHeight="1" x14ac:dyDescent="0.3">
      <c r="A218" s="1">
        <v>82</v>
      </c>
      <c r="B218" s="1" t="s">
        <v>25</v>
      </c>
      <c r="C218" s="7" t="s">
        <v>454</v>
      </c>
      <c r="D218" s="1" t="s">
        <v>455</v>
      </c>
      <c r="E218" s="1" t="s">
        <v>456</v>
      </c>
      <c r="F218" s="1">
        <v>2010</v>
      </c>
      <c r="G218" s="1">
        <v>2010</v>
      </c>
      <c r="H218" s="1" t="s">
        <v>457</v>
      </c>
      <c r="I218" s="4" t="s">
        <v>459</v>
      </c>
      <c r="J218" s="4" t="s">
        <v>30</v>
      </c>
      <c r="K218" s="1" t="str">
        <f>CONCATENATE("011010127797","")</f>
        <v>011010127797</v>
      </c>
      <c r="L218" s="1" t="s">
        <v>31</v>
      </c>
      <c r="M218" s="1">
        <v>427.31</v>
      </c>
      <c r="N218" s="1" t="s">
        <v>458</v>
      </c>
      <c r="O218" s="1">
        <v>2010</v>
      </c>
      <c r="P218" s="1"/>
      <c r="Q218" t="s">
        <v>51</v>
      </c>
      <c r="R218" t="s">
        <v>35</v>
      </c>
      <c r="T218">
        <v>216</v>
      </c>
      <c r="U218" t="s">
        <v>36</v>
      </c>
      <c r="W218" t="s">
        <v>453</v>
      </c>
    </row>
    <row r="219" spans="1:23" ht="25.05" customHeight="1" x14ac:dyDescent="0.3">
      <c r="A219" s="1">
        <v>7</v>
      </c>
      <c r="B219" s="1" t="s">
        <v>25</v>
      </c>
      <c r="C219" s="7" t="s">
        <v>2006</v>
      </c>
      <c r="D219" s="1" t="s">
        <v>1442</v>
      </c>
      <c r="E219" s="1" t="s">
        <v>788</v>
      </c>
      <c r="F219" s="1">
        <v>2011</v>
      </c>
      <c r="G219" s="1">
        <v>2011</v>
      </c>
      <c r="H219" s="1" t="s">
        <v>2007</v>
      </c>
      <c r="I219" s="4" t="s">
        <v>2009</v>
      </c>
      <c r="J219" s="4" t="s">
        <v>30</v>
      </c>
      <c r="K219" s="1" t="str">
        <f>CONCATENATE("011010140216","")</f>
        <v>011010140216</v>
      </c>
      <c r="L219" s="1" t="s">
        <v>31</v>
      </c>
      <c r="M219" s="1">
        <v>427.31</v>
      </c>
      <c r="N219" s="1" t="s">
        <v>2008</v>
      </c>
      <c r="O219" s="1">
        <v>2011</v>
      </c>
      <c r="P219" s="1"/>
      <c r="Q219" t="s">
        <v>51</v>
      </c>
      <c r="R219" t="s">
        <v>35</v>
      </c>
      <c r="T219">
        <v>170</v>
      </c>
      <c r="U219" t="s">
        <v>36</v>
      </c>
      <c r="W219" t="s">
        <v>580</v>
      </c>
    </row>
    <row r="220" spans="1:23" ht="25.05" customHeight="1" x14ac:dyDescent="0.3">
      <c r="A220" s="1">
        <v>198</v>
      </c>
      <c r="B220" s="1" t="s">
        <v>25</v>
      </c>
      <c r="C220" s="7" t="s">
        <v>1100</v>
      </c>
      <c r="D220" s="1" t="s">
        <v>1101</v>
      </c>
      <c r="E220" s="1" t="s">
        <v>1102</v>
      </c>
      <c r="F220" s="1">
        <v>2015</v>
      </c>
      <c r="G220" s="1">
        <v>2015</v>
      </c>
      <c r="H220" s="1" t="s">
        <v>1103</v>
      </c>
      <c r="I220" s="4" t="s">
        <v>1105</v>
      </c>
      <c r="J220" s="4" t="s">
        <v>30</v>
      </c>
      <c r="K220" s="1" t="str">
        <f>CONCATENATE("011010166243","")</f>
        <v>011010166243</v>
      </c>
      <c r="L220" s="1" t="s">
        <v>31</v>
      </c>
      <c r="M220" s="1">
        <v>427.31</v>
      </c>
      <c r="N220" s="1" t="s">
        <v>1104</v>
      </c>
      <c r="O220" s="1">
        <v>2015</v>
      </c>
      <c r="P220" s="1"/>
      <c r="Q220" t="s">
        <v>51</v>
      </c>
      <c r="R220" t="s">
        <v>35</v>
      </c>
      <c r="T220">
        <v>273</v>
      </c>
      <c r="U220" t="s">
        <v>36</v>
      </c>
      <c r="W220" t="s">
        <v>1099</v>
      </c>
    </row>
    <row r="221" spans="1:23" ht="25.05" customHeight="1" x14ac:dyDescent="0.3">
      <c r="A221" s="1">
        <v>57</v>
      </c>
      <c r="B221" s="1" t="s">
        <v>25</v>
      </c>
      <c r="C221" s="7" t="s">
        <v>349</v>
      </c>
      <c r="D221" s="1" t="s">
        <v>350</v>
      </c>
      <c r="E221" s="1" t="s">
        <v>351</v>
      </c>
      <c r="F221" s="1" t="s">
        <v>225</v>
      </c>
      <c r="G221" s="1">
        <v>2007</v>
      </c>
      <c r="H221" s="1" t="s">
        <v>352</v>
      </c>
      <c r="I221" s="4" t="s">
        <v>354</v>
      </c>
      <c r="J221" s="4" t="s">
        <v>30</v>
      </c>
      <c r="K221" s="1" t="str">
        <f>CONCATENATE("011010113925","")</f>
        <v>011010113925</v>
      </c>
      <c r="L221" s="1" t="s">
        <v>31</v>
      </c>
      <c r="M221" s="1">
        <v>427.31</v>
      </c>
      <c r="N221" s="1" t="s">
        <v>353</v>
      </c>
      <c r="O221" s="1">
        <v>2007</v>
      </c>
      <c r="P221" s="1"/>
      <c r="Q221" t="s">
        <v>51</v>
      </c>
      <c r="R221" t="s">
        <v>35</v>
      </c>
      <c r="T221">
        <v>210</v>
      </c>
      <c r="U221" t="s">
        <v>36</v>
      </c>
      <c r="W221" t="s">
        <v>355</v>
      </c>
    </row>
    <row r="222" spans="1:23" ht="25.05" customHeight="1" x14ac:dyDescent="0.3">
      <c r="A222" s="1">
        <v>112</v>
      </c>
      <c r="B222" s="1" t="s">
        <v>25</v>
      </c>
      <c r="C222" s="7" t="s">
        <v>623</v>
      </c>
      <c r="D222" s="1" t="s">
        <v>624</v>
      </c>
      <c r="E222" s="1" t="s">
        <v>625</v>
      </c>
      <c r="F222" s="1" t="s">
        <v>515</v>
      </c>
      <c r="G222" s="1">
        <v>2011</v>
      </c>
      <c r="H222" s="1" t="s">
        <v>626</v>
      </c>
      <c r="I222" s="4" t="s">
        <v>628</v>
      </c>
      <c r="J222" s="4" t="s">
        <v>30</v>
      </c>
      <c r="K222" s="1" t="str">
        <f>CONCATENATE("011010140080","")</f>
        <v>011010140080</v>
      </c>
      <c r="L222" s="1" t="s">
        <v>31</v>
      </c>
      <c r="M222" s="1">
        <v>427.32</v>
      </c>
      <c r="N222" s="1" t="s">
        <v>627</v>
      </c>
      <c r="O222" s="1">
        <v>2011</v>
      </c>
      <c r="P222" s="1"/>
      <c r="Q222" t="s">
        <v>51</v>
      </c>
      <c r="R222" t="s">
        <v>35</v>
      </c>
      <c r="T222">
        <v>259</v>
      </c>
      <c r="U222" t="s">
        <v>36</v>
      </c>
      <c r="W222" t="s">
        <v>580</v>
      </c>
    </row>
    <row r="223" spans="1:23" ht="25.05" customHeight="1" x14ac:dyDescent="0.3">
      <c r="A223" s="1">
        <v>28</v>
      </c>
      <c r="B223" s="1" t="s">
        <v>25</v>
      </c>
      <c r="C223" s="7" t="s">
        <v>205</v>
      </c>
      <c r="D223" s="1" t="s">
        <v>206</v>
      </c>
      <c r="E223" s="1" t="s">
        <v>166</v>
      </c>
      <c r="F223" s="1" t="s">
        <v>207</v>
      </c>
      <c r="G223" s="1">
        <v>2006</v>
      </c>
      <c r="H223" s="1" t="s">
        <v>208</v>
      </c>
      <c r="I223" s="4" t="s">
        <v>210</v>
      </c>
      <c r="J223" s="4" t="s">
        <v>30</v>
      </c>
      <c r="K223" s="1" t="str">
        <f>CONCATENATE("011010088369","")</f>
        <v>011010088369</v>
      </c>
      <c r="L223" s="1" t="s">
        <v>31</v>
      </c>
      <c r="M223" s="1">
        <v>427.32</v>
      </c>
      <c r="N223" s="1" t="s">
        <v>209</v>
      </c>
      <c r="O223" s="1">
        <v>2006</v>
      </c>
      <c r="P223" s="1"/>
      <c r="Q223" t="s">
        <v>51</v>
      </c>
      <c r="R223" t="s">
        <v>35</v>
      </c>
      <c r="T223">
        <v>285</v>
      </c>
      <c r="U223" t="s">
        <v>36</v>
      </c>
      <c r="W223" t="s">
        <v>198</v>
      </c>
    </row>
    <row r="224" spans="1:23" ht="25.05" customHeight="1" x14ac:dyDescent="0.3">
      <c r="A224" s="1">
        <v>85</v>
      </c>
      <c r="B224" s="1" t="s">
        <v>25</v>
      </c>
      <c r="C224" s="7" t="s">
        <v>472</v>
      </c>
      <c r="D224" s="1" t="s">
        <v>473</v>
      </c>
      <c r="E224" s="1" t="s">
        <v>414</v>
      </c>
      <c r="F224" s="1" t="s">
        <v>374</v>
      </c>
      <c r="G224" s="1">
        <v>2010</v>
      </c>
      <c r="H224" s="1" t="s">
        <v>474</v>
      </c>
      <c r="I224" s="4" t="s">
        <v>475</v>
      </c>
      <c r="J224" s="4" t="s">
        <v>30</v>
      </c>
      <c r="K224" s="1" t="str">
        <f>CONCATENATE("011010128550","")</f>
        <v>011010128550</v>
      </c>
      <c r="L224" s="1" t="s">
        <v>31</v>
      </c>
      <c r="M224" s="1">
        <v>427.33</v>
      </c>
      <c r="N224" s="1" t="s">
        <v>220</v>
      </c>
      <c r="O224" s="1">
        <v>2010</v>
      </c>
      <c r="P224" s="1"/>
      <c r="Q224" t="s">
        <v>51</v>
      </c>
      <c r="R224" t="s">
        <v>35</v>
      </c>
      <c r="T224">
        <v>216</v>
      </c>
      <c r="U224" t="s">
        <v>36</v>
      </c>
      <c r="W224" t="s">
        <v>471</v>
      </c>
    </row>
    <row r="225" spans="1:23" ht="25.05" customHeight="1" x14ac:dyDescent="0.3">
      <c r="A225" s="1">
        <v>182</v>
      </c>
      <c r="B225" s="1" t="s">
        <v>25</v>
      </c>
      <c r="C225" s="7" t="s">
        <v>1013</v>
      </c>
      <c r="D225" s="1" t="s">
        <v>1014</v>
      </c>
      <c r="E225" s="1" t="s">
        <v>1015</v>
      </c>
      <c r="F225" s="1" t="s">
        <v>884</v>
      </c>
      <c r="G225" s="1">
        <v>2015</v>
      </c>
      <c r="H225" s="1" t="s">
        <v>1016</v>
      </c>
      <c r="I225" s="4" t="s">
        <v>1017</v>
      </c>
      <c r="J225" s="4" t="s">
        <v>30</v>
      </c>
      <c r="K225" s="1" t="str">
        <f>CONCATENATE("011010164903","")</f>
        <v>011010164903</v>
      </c>
      <c r="L225" s="1" t="s">
        <v>31</v>
      </c>
      <c r="M225" s="1">
        <v>427.35</v>
      </c>
      <c r="N225" s="1" t="s">
        <v>261</v>
      </c>
      <c r="O225" s="1">
        <v>2015</v>
      </c>
      <c r="P225" s="1"/>
      <c r="Q225" t="s">
        <v>51</v>
      </c>
      <c r="R225" t="s">
        <v>35</v>
      </c>
      <c r="T225">
        <v>242</v>
      </c>
      <c r="U225" t="s">
        <v>36</v>
      </c>
      <c r="W225" t="s">
        <v>991</v>
      </c>
    </row>
    <row r="226" spans="1:23" ht="25.05" customHeight="1" x14ac:dyDescent="0.3">
      <c r="A226" s="1">
        <v>194</v>
      </c>
      <c r="B226" s="1" t="s">
        <v>25</v>
      </c>
      <c r="C226" s="7" t="s">
        <v>1082</v>
      </c>
      <c r="D226" s="1" t="s">
        <v>1083</v>
      </c>
      <c r="E226" s="1" t="s">
        <v>1084</v>
      </c>
      <c r="F226" s="1" t="s">
        <v>715</v>
      </c>
      <c r="G226" s="1">
        <v>2014</v>
      </c>
      <c r="H226" s="1" t="s">
        <v>1085</v>
      </c>
      <c r="I226" s="4" t="s">
        <v>1087</v>
      </c>
      <c r="J226" s="4" t="s">
        <v>30</v>
      </c>
      <c r="K226" s="1" t="str">
        <f>CONCATENATE("011010165788","")</f>
        <v>011010165788</v>
      </c>
      <c r="L226" s="1" t="s">
        <v>31</v>
      </c>
      <c r="M226" s="1">
        <v>427.35</v>
      </c>
      <c r="N226" s="1" t="s">
        <v>1086</v>
      </c>
      <c r="O226" s="1">
        <v>2014</v>
      </c>
      <c r="P226" s="1"/>
      <c r="Q226" t="s">
        <v>51</v>
      </c>
      <c r="R226" t="s">
        <v>35</v>
      </c>
      <c r="T226">
        <v>182</v>
      </c>
      <c r="U226" t="s">
        <v>36</v>
      </c>
      <c r="W226" t="s">
        <v>1081</v>
      </c>
    </row>
    <row r="227" spans="1:23" ht="25.05" customHeight="1" x14ac:dyDescent="0.3">
      <c r="A227" s="1">
        <v>151</v>
      </c>
      <c r="B227" s="1" t="s">
        <v>25</v>
      </c>
      <c r="C227" s="7" t="s">
        <v>848</v>
      </c>
      <c r="D227" s="1" t="s">
        <v>849</v>
      </c>
      <c r="E227" s="1" t="s">
        <v>850</v>
      </c>
      <c r="F227" s="1" t="s">
        <v>715</v>
      </c>
      <c r="G227" s="1">
        <v>2014</v>
      </c>
      <c r="H227" s="1" t="s">
        <v>851</v>
      </c>
      <c r="I227" s="4" t="s">
        <v>853</v>
      </c>
      <c r="J227" s="4" t="s">
        <v>30</v>
      </c>
      <c r="K227" s="1" t="str">
        <f>CONCATENATE("011010155764","")</f>
        <v>011010155764</v>
      </c>
      <c r="L227" s="1" t="s">
        <v>31</v>
      </c>
      <c r="M227" s="1">
        <v>427.35</v>
      </c>
      <c r="N227" s="1" t="s">
        <v>852</v>
      </c>
      <c r="O227" s="1">
        <v>2014</v>
      </c>
      <c r="P227" s="1"/>
      <c r="Q227" t="s">
        <v>51</v>
      </c>
      <c r="R227" t="s">
        <v>35</v>
      </c>
      <c r="T227">
        <v>203</v>
      </c>
      <c r="U227" t="s">
        <v>36</v>
      </c>
      <c r="W227" t="s">
        <v>854</v>
      </c>
    </row>
    <row r="228" spans="1:23" ht="25.05" customHeight="1" x14ac:dyDescent="0.3">
      <c r="A228" s="1">
        <v>12</v>
      </c>
      <c r="B228" s="1" t="s">
        <v>25</v>
      </c>
      <c r="C228" s="7" t="s">
        <v>2014</v>
      </c>
      <c r="D228" s="1" t="s">
        <v>2015</v>
      </c>
      <c r="E228" s="1" t="s">
        <v>775</v>
      </c>
      <c r="F228" s="1" t="s">
        <v>995</v>
      </c>
      <c r="G228" s="1">
        <v>2016</v>
      </c>
      <c r="H228" s="1" t="s">
        <v>2016</v>
      </c>
      <c r="I228" s="4" t="s">
        <v>2018</v>
      </c>
      <c r="J228" s="4" t="s">
        <v>30</v>
      </c>
      <c r="K228" s="1" t="str">
        <f>CONCATENATE("011010165475","")</f>
        <v>011010165475</v>
      </c>
      <c r="L228" s="1" t="s">
        <v>31</v>
      </c>
      <c r="M228" s="1">
        <v>427.35</v>
      </c>
      <c r="N228" s="1" t="s">
        <v>2017</v>
      </c>
      <c r="O228" s="1">
        <v>2016</v>
      </c>
      <c r="P228" s="1"/>
      <c r="Q228" t="s">
        <v>274</v>
      </c>
      <c r="R228" t="s">
        <v>35</v>
      </c>
      <c r="T228">
        <v>210</v>
      </c>
      <c r="U228" t="s">
        <v>36</v>
      </c>
      <c r="W228" t="s">
        <v>1063</v>
      </c>
    </row>
    <row r="229" spans="1:23" ht="25.05" customHeight="1" x14ac:dyDescent="0.3">
      <c r="A229" s="1">
        <v>178</v>
      </c>
      <c r="B229" s="1" t="s">
        <v>25</v>
      </c>
      <c r="C229" s="7" t="s">
        <v>992</v>
      </c>
      <c r="D229" s="1" t="s">
        <v>993</v>
      </c>
      <c r="E229" s="1" t="s">
        <v>994</v>
      </c>
      <c r="F229" s="1" t="s">
        <v>995</v>
      </c>
      <c r="G229" s="1">
        <v>2016</v>
      </c>
      <c r="H229" s="1" t="s">
        <v>996</v>
      </c>
      <c r="I229" s="4" t="s">
        <v>998</v>
      </c>
      <c r="J229" s="4" t="s">
        <v>30</v>
      </c>
      <c r="K229" s="1" t="str">
        <f>CONCATENATE("011010164805","")</f>
        <v>011010164805</v>
      </c>
      <c r="L229" s="1" t="s">
        <v>31</v>
      </c>
      <c r="M229" s="1">
        <v>427.35</v>
      </c>
      <c r="N229" s="1" t="s">
        <v>997</v>
      </c>
      <c r="O229" s="1">
        <v>2016</v>
      </c>
      <c r="P229" s="1"/>
      <c r="Q229" t="s">
        <v>51</v>
      </c>
      <c r="R229" t="s">
        <v>35</v>
      </c>
      <c r="T229">
        <v>193</v>
      </c>
      <c r="U229" t="s">
        <v>36</v>
      </c>
      <c r="W229" t="s">
        <v>991</v>
      </c>
    </row>
    <row r="230" spans="1:23" ht="25.05" customHeight="1" x14ac:dyDescent="0.3">
      <c r="A230" s="1">
        <v>229</v>
      </c>
      <c r="B230" s="1" t="s">
        <v>25</v>
      </c>
      <c r="C230" s="7" t="s">
        <v>1224</v>
      </c>
      <c r="D230" s="1" t="s">
        <v>1225</v>
      </c>
      <c r="E230" s="1" t="s">
        <v>1226</v>
      </c>
      <c r="F230" s="1" t="s">
        <v>1135</v>
      </c>
      <c r="G230" s="1">
        <v>2017</v>
      </c>
      <c r="H230" s="1" t="s">
        <v>1227</v>
      </c>
      <c r="I230" s="4" t="s">
        <v>1229</v>
      </c>
      <c r="J230" s="4" t="s">
        <v>30</v>
      </c>
      <c r="K230" s="1" t="str">
        <f>CONCATENATE("011010175373","")</f>
        <v>011010175373</v>
      </c>
      <c r="L230" s="1" t="s">
        <v>31</v>
      </c>
      <c r="M230" s="1">
        <v>427.38</v>
      </c>
      <c r="N230" s="1" t="s">
        <v>1228</v>
      </c>
      <c r="O230" s="1">
        <v>2017</v>
      </c>
      <c r="P230" s="1"/>
      <c r="Q230" t="s">
        <v>51</v>
      </c>
      <c r="R230" t="s">
        <v>35</v>
      </c>
      <c r="T230">
        <v>542</v>
      </c>
      <c r="U230" t="s">
        <v>36</v>
      </c>
      <c r="W230" t="s">
        <v>1223</v>
      </c>
    </row>
    <row r="231" spans="1:23" ht="25.05" customHeight="1" x14ac:dyDescent="0.3">
      <c r="A231" s="1">
        <v>38</v>
      </c>
      <c r="B231" s="1" t="s">
        <v>25</v>
      </c>
      <c r="C231" s="7" t="s">
        <v>264</v>
      </c>
      <c r="D231" s="1" t="s">
        <v>265</v>
      </c>
      <c r="E231" s="1" t="s">
        <v>94</v>
      </c>
      <c r="F231" s="1" t="s">
        <v>225</v>
      </c>
      <c r="G231" s="1">
        <v>2007</v>
      </c>
      <c r="H231" s="1" t="s">
        <v>266</v>
      </c>
      <c r="I231" s="4" t="s">
        <v>268</v>
      </c>
      <c r="J231" s="4" t="s">
        <v>30</v>
      </c>
      <c r="K231" s="1" t="str">
        <f>CONCATENATE("011010095476","")</f>
        <v>011010095476</v>
      </c>
      <c r="L231" s="1" t="s">
        <v>31</v>
      </c>
      <c r="M231" s="1">
        <v>427.61</v>
      </c>
      <c r="N231" s="1" t="s">
        <v>267</v>
      </c>
      <c r="O231" s="1">
        <v>2007</v>
      </c>
      <c r="P231" s="1"/>
      <c r="Q231" t="s">
        <v>51</v>
      </c>
      <c r="R231" t="s">
        <v>35</v>
      </c>
      <c r="T231">
        <v>171</v>
      </c>
      <c r="U231" t="s">
        <v>36</v>
      </c>
      <c r="W231" t="s">
        <v>263</v>
      </c>
    </row>
    <row r="232" spans="1:23" ht="25.05" customHeight="1" x14ac:dyDescent="0.3">
      <c r="A232" s="1">
        <v>259</v>
      </c>
      <c r="B232" s="1" t="s">
        <v>25</v>
      </c>
      <c r="C232" s="7" t="s">
        <v>1397</v>
      </c>
      <c r="D232" s="1" t="s">
        <v>153</v>
      </c>
      <c r="E232" s="1" t="s">
        <v>1398</v>
      </c>
      <c r="F232" s="1">
        <v>2018</v>
      </c>
      <c r="G232" s="1">
        <v>2018</v>
      </c>
      <c r="H232" s="1" t="s">
        <v>1399</v>
      </c>
      <c r="I232" s="4" t="s">
        <v>1401</v>
      </c>
      <c r="J232" s="4" t="s">
        <v>30</v>
      </c>
      <c r="K232" s="1" t="str">
        <f>CONCATENATE("011010179664","")</f>
        <v>011010179664</v>
      </c>
      <c r="L232" s="1" t="s">
        <v>31</v>
      </c>
      <c r="M232" s="1">
        <v>427.61</v>
      </c>
      <c r="N232" s="1" t="s">
        <v>1400</v>
      </c>
      <c r="O232" s="1">
        <v>2018</v>
      </c>
      <c r="P232" s="1"/>
      <c r="Q232" t="s">
        <v>274</v>
      </c>
      <c r="R232" t="s">
        <v>35</v>
      </c>
      <c r="T232">
        <v>296</v>
      </c>
      <c r="U232" t="s">
        <v>36</v>
      </c>
      <c r="W232" t="s">
        <v>1357</v>
      </c>
    </row>
    <row r="233" spans="1:23" ht="25.05" customHeight="1" x14ac:dyDescent="0.3">
      <c r="A233" s="1">
        <v>170</v>
      </c>
      <c r="B233" s="1" t="s">
        <v>25</v>
      </c>
      <c r="C233" s="7" t="s">
        <v>953</v>
      </c>
      <c r="D233" s="1" t="s">
        <v>954</v>
      </c>
      <c r="E233" s="1" t="s">
        <v>373</v>
      </c>
      <c r="F233" s="1">
        <v>2015.11</v>
      </c>
      <c r="G233" s="1">
        <v>2015</v>
      </c>
      <c r="H233" s="1" t="s">
        <v>955</v>
      </c>
      <c r="I233" s="4" t="s">
        <v>957</v>
      </c>
      <c r="J233" s="4" t="s">
        <v>30</v>
      </c>
      <c r="K233" s="1" t="str">
        <f>CONCATENATE("011010162560","")</f>
        <v>011010162560</v>
      </c>
      <c r="L233" s="1" t="s">
        <v>31</v>
      </c>
      <c r="M233" s="1">
        <v>427.7</v>
      </c>
      <c r="N233" s="1" t="s">
        <v>956</v>
      </c>
      <c r="O233" s="1">
        <v>2015</v>
      </c>
      <c r="P233" s="1"/>
      <c r="Q233" t="s">
        <v>51</v>
      </c>
      <c r="R233" t="s">
        <v>35</v>
      </c>
      <c r="T233">
        <v>273</v>
      </c>
      <c r="U233" t="s">
        <v>36</v>
      </c>
      <c r="W233" t="s">
        <v>936</v>
      </c>
    </row>
    <row r="234" spans="1:23" ht="25.05" customHeight="1" x14ac:dyDescent="0.3">
      <c r="A234" s="1">
        <v>255</v>
      </c>
      <c r="B234" s="1" t="s">
        <v>25</v>
      </c>
      <c r="C234" s="7" t="s">
        <v>1375</v>
      </c>
      <c r="D234" s="1" t="s">
        <v>1376</v>
      </c>
      <c r="E234" s="1" t="s">
        <v>1179</v>
      </c>
      <c r="F234" s="1">
        <v>2017</v>
      </c>
      <c r="G234" s="1">
        <v>2017</v>
      </c>
      <c r="H234" s="1" t="s">
        <v>1377</v>
      </c>
      <c r="I234" s="4" t="s">
        <v>1379</v>
      </c>
      <c r="J234" s="4" t="s">
        <v>30</v>
      </c>
      <c r="K234" s="1" t="str">
        <f>CONCATENATE("011010179278","")</f>
        <v>011010179278</v>
      </c>
      <c r="L234" s="1" t="s">
        <v>31</v>
      </c>
      <c r="M234" s="1">
        <v>427.8</v>
      </c>
      <c r="N234" s="1" t="s">
        <v>1378</v>
      </c>
      <c r="O234" s="1">
        <v>2017</v>
      </c>
      <c r="P234" s="1"/>
      <c r="Q234" t="s">
        <v>51</v>
      </c>
      <c r="R234" t="s">
        <v>35</v>
      </c>
      <c r="T234">
        <v>296</v>
      </c>
      <c r="U234" t="s">
        <v>36</v>
      </c>
      <c r="W234" t="s">
        <v>1357</v>
      </c>
    </row>
    <row r="235" spans="1:23" ht="25.05" customHeight="1" x14ac:dyDescent="0.3">
      <c r="A235" s="1">
        <v>128</v>
      </c>
      <c r="B235" s="1" t="s">
        <v>25</v>
      </c>
      <c r="C235" s="7" t="s">
        <v>706</v>
      </c>
      <c r="D235" s="1" t="s">
        <v>707</v>
      </c>
      <c r="E235" s="1" t="s">
        <v>708</v>
      </c>
      <c r="F235" s="1" t="s">
        <v>678</v>
      </c>
      <c r="G235" s="1">
        <v>2012</v>
      </c>
      <c r="H235" s="1" t="s">
        <v>709</v>
      </c>
      <c r="I235" s="4" t="s">
        <v>711</v>
      </c>
      <c r="J235" s="4" t="s">
        <v>30</v>
      </c>
      <c r="K235" s="1" t="str">
        <f>CONCATENATE("011010142121","")</f>
        <v>011010142121</v>
      </c>
      <c r="L235" s="1" t="s">
        <v>31</v>
      </c>
      <c r="M235" s="1">
        <v>427.8</v>
      </c>
      <c r="N235" s="1" t="s">
        <v>710</v>
      </c>
      <c r="O235" s="1">
        <v>2012</v>
      </c>
      <c r="P235" s="1"/>
      <c r="Q235" t="s">
        <v>51</v>
      </c>
      <c r="R235" t="s">
        <v>35</v>
      </c>
      <c r="T235">
        <v>326</v>
      </c>
      <c r="U235" t="s">
        <v>36</v>
      </c>
      <c r="W235" t="s">
        <v>698</v>
      </c>
    </row>
    <row r="236" spans="1:23" ht="25.05" customHeight="1" x14ac:dyDescent="0.3">
      <c r="A236" s="1">
        <v>71</v>
      </c>
      <c r="B236" s="1" t="s">
        <v>25</v>
      </c>
      <c r="C236" s="7" t="s">
        <v>404</v>
      </c>
      <c r="D236" s="1" t="s">
        <v>405</v>
      </c>
      <c r="E236" s="1" t="s">
        <v>406</v>
      </c>
      <c r="F236" s="1" t="s">
        <v>407</v>
      </c>
      <c r="G236" s="1">
        <v>2009</v>
      </c>
      <c r="H236" s="1" t="s">
        <v>408</v>
      </c>
      <c r="I236" s="4" t="s">
        <v>410</v>
      </c>
      <c r="J236" s="4" t="s">
        <v>30</v>
      </c>
      <c r="K236" s="1" t="str">
        <f>CONCATENATE("011010122168","")</f>
        <v>011010122168</v>
      </c>
      <c r="L236" s="1" t="s">
        <v>31</v>
      </c>
      <c r="M236" s="1">
        <v>427.8</v>
      </c>
      <c r="N236" s="1" t="s">
        <v>409</v>
      </c>
      <c r="O236" s="1">
        <v>2009</v>
      </c>
      <c r="P236" s="1"/>
      <c r="Q236" t="s">
        <v>51</v>
      </c>
      <c r="R236" t="s">
        <v>35</v>
      </c>
      <c r="T236">
        <v>221</v>
      </c>
      <c r="U236" t="s">
        <v>36</v>
      </c>
      <c r="W236" t="s">
        <v>411</v>
      </c>
    </row>
    <row r="237" spans="1:23" ht="25.05" customHeight="1" x14ac:dyDescent="0.3">
      <c r="A237" s="1">
        <v>77</v>
      </c>
      <c r="B237" s="1" t="s">
        <v>25</v>
      </c>
      <c r="C237" s="7" t="s">
        <v>429</v>
      </c>
      <c r="D237" s="1" t="s">
        <v>430</v>
      </c>
      <c r="E237" s="1" t="s">
        <v>154</v>
      </c>
      <c r="F237" s="1" t="s">
        <v>374</v>
      </c>
      <c r="G237" s="1">
        <v>2010</v>
      </c>
      <c r="H237" s="1" t="s">
        <v>431</v>
      </c>
      <c r="I237" s="4" t="s">
        <v>433</v>
      </c>
      <c r="J237" s="4" t="s">
        <v>30</v>
      </c>
      <c r="K237" s="1" t="str">
        <f>CONCATENATE("011010126821","")</f>
        <v>011010126821</v>
      </c>
      <c r="L237" s="1" t="s">
        <v>31</v>
      </c>
      <c r="M237" s="1">
        <v>427.8</v>
      </c>
      <c r="N237" s="1" t="s">
        <v>432</v>
      </c>
      <c r="O237" s="1">
        <v>2010</v>
      </c>
      <c r="P237" s="1"/>
      <c r="Q237" t="s">
        <v>51</v>
      </c>
      <c r="R237" t="s">
        <v>35</v>
      </c>
      <c r="T237">
        <v>259</v>
      </c>
      <c r="U237" t="s">
        <v>36</v>
      </c>
      <c r="W237" t="s">
        <v>378</v>
      </c>
    </row>
    <row r="238" spans="1:23" ht="25.05" customHeight="1" x14ac:dyDescent="0.3">
      <c r="A238" s="1">
        <v>116</v>
      </c>
      <c r="B238" s="1" t="s">
        <v>25</v>
      </c>
      <c r="C238" s="7" t="s">
        <v>647</v>
      </c>
      <c r="D238" s="1" t="s">
        <v>537</v>
      </c>
      <c r="E238" s="1" t="s">
        <v>414</v>
      </c>
      <c r="F238" s="1">
        <v>2012</v>
      </c>
      <c r="G238" s="1">
        <v>2012</v>
      </c>
      <c r="H238" s="1" t="s">
        <v>648</v>
      </c>
      <c r="I238" s="4" t="s">
        <v>649</v>
      </c>
      <c r="J238" s="4" t="s">
        <v>30</v>
      </c>
      <c r="K238" s="1" t="str">
        <f>CONCATENATE("011010140636","")</f>
        <v>011010140636</v>
      </c>
      <c r="L238" s="1" t="s">
        <v>31</v>
      </c>
      <c r="M238" s="1">
        <v>427.8</v>
      </c>
      <c r="N238" s="1" t="s">
        <v>539</v>
      </c>
      <c r="O238" s="1">
        <v>2012</v>
      </c>
      <c r="P238" s="1"/>
      <c r="Q238" t="s">
        <v>51</v>
      </c>
      <c r="R238" t="s">
        <v>35</v>
      </c>
      <c r="T238">
        <v>281</v>
      </c>
      <c r="U238" t="s">
        <v>36</v>
      </c>
      <c r="W238" t="s">
        <v>646</v>
      </c>
    </row>
    <row r="239" spans="1:23" ht="25.05" customHeight="1" x14ac:dyDescent="0.3">
      <c r="A239" s="1">
        <v>152</v>
      </c>
      <c r="B239" s="1" t="s">
        <v>25</v>
      </c>
      <c r="C239" s="7" t="s">
        <v>855</v>
      </c>
      <c r="D239" s="1" t="s">
        <v>537</v>
      </c>
      <c r="E239" s="1" t="s">
        <v>414</v>
      </c>
      <c r="F239" s="1" t="s">
        <v>715</v>
      </c>
      <c r="G239" s="1">
        <v>2014</v>
      </c>
      <c r="H239" s="1" t="s">
        <v>856</v>
      </c>
      <c r="I239" s="4" t="s">
        <v>858</v>
      </c>
      <c r="J239" s="4" t="s">
        <v>30</v>
      </c>
      <c r="K239" s="1" t="str">
        <f>CONCATENATE("011010155778","")</f>
        <v>011010155778</v>
      </c>
      <c r="L239" s="1" t="s">
        <v>31</v>
      </c>
      <c r="M239" s="1">
        <v>427.8</v>
      </c>
      <c r="N239" s="1" t="s">
        <v>857</v>
      </c>
      <c r="O239" s="1">
        <v>2014</v>
      </c>
      <c r="P239" s="1"/>
      <c r="Q239" t="s">
        <v>51</v>
      </c>
      <c r="R239" t="s">
        <v>35</v>
      </c>
      <c r="T239">
        <v>284</v>
      </c>
      <c r="U239" t="s">
        <v>36</v>
      </c>
      <c r="W239" t="s">
        <v>859</v>
      </c>
    </row>
    <row r="240" spans="1:23" ht="25.05" customHeight="1" x14ac:dyDescent="0.3">
      <c r="A240" s="1">
        <v>86</v>
      </c>
      <c r="B240" s="1" t="s">
        <v>25</v>
      </c>
      <c r="C240" s="7" t="s">
        <v>476</v>
      </c>
      <c r="D240" s="1" t="s">
        <v>477</v>
      </c>
      <c r="E240" s="1" t="s">
        <v>478</v>
      </c>
      <c r="F240" s="1" t="s">
        <v>394</v>
      </c>
      <c r="G240" s="1">
        <v>2009</v>
      </c>
      <c r="H240" s="1" t="s">
        <v>479</v>
      </c>
      <c r="I240" s="4" t="s">
        <v>481</v>
      </c>
      <c r="J240" s="4" t="s">
        <v>30</v>
      </c>
      <c r="K240" s="1" t="str">
        <f>CONCATENATE("011010128750","")</f>
        <v>011010128750</v>
      </c>
      <c r="L240" s="1" t="s">
        <v>31</v>
      </c>
      <c r="M240" s="1">
        <v>427.80220000000003</v>
      </c>
      <c r="N240" s="1" t="s">
        <v>480</v>
      </c>
      <c r="O240" s="1">
        <v>2009</v>
      </c>
      <c r="P240" s="1"/>
      <c r="Q240" t="s">
        <v>51</v>
      </c>
      <c r="R240" t="s">
        <v>35</v>
      </c>
      <c r="T240">
        <v>132</v>
      </c>
      <c r="U240" t="s">
        <v>36</v>
      </c>
      <c r="W240" t="s">
        <v>482</v>
      </c>
    </row>
    <row r="241" spans="1:23" ht="25.05" customHeight="1" x14ac:dyDescent="0.3">
      <c r="A241" s="1">
        <v>62</v>
      </c>
      <c r="B241" s="1" t="s">
        <v>25</v>
      </c>
      <c r="C241" s="7" t="s">
        <v>371</v>
      </c>
      <c r="D241" s="1" t="s">
        <v>372</v>
      </c>
      <c r="E241" s="1" t="s">
        <v>373</v>
      </c>
      <c r="F241" s="1" t="s">
        <v>374</v>
      </c>
      <c r="G241" s="1">
        <v>2010</v>
      </c>
      <c r="H241" s="1" t="s">
        <v>375</v>
      </c>
      <c r="I241" s="4" t="s">
        <v>377</v>
      </c>
      <c r="J241" s="4" t="s">
        <v>30</v>
      </c>
      <c r="K241" s="1" t="str">
        <f>CONCATENATE("011010116723","")</f>
        <v>011010116723</v>
      </c>
      <c r="L241" s="1" t="s">
        <v>31</v>
      </c>
      <c r="M241" s="1">
        <v>434.19299999999998</v>
      </c>
      <c r="N241" s="1" t="s">
        <v>376</v>
      </c>
      <c r="O241" s="1">
        <v>2009</v>
      </c>
      <c r="P241" s="1"/>
      <c r="Q241" t="s">
        <v>51</v>
      </c>
      <c r="R241" t="s">
        <v>35</v>
      </c>
      <c r="T241">
        <v>259</v>
      </c>
      <c r="U241" t="s">
        <v>36</v>
      </c>
      <c r="W241" t="s">
        <v>378</v>
      </c>
    </row>
    <row r="242" spans="1:23" ht="25.05" customHeight="1" x14ac:dyDescent="0.3">
      <c r="A242" s="1">
        <v>113</v>
      </c>
      <c r="B242" s="1" t="s">
        <v>25</v>
      </c>
      <c r="C242" s="7" t="s">
        <v>629</v>
      </c>
      <c r="D242" s="1" t="s">
        <v>630</v>
      </c>
      <c r="E242" s="1" t="s">
        <v>564</v>
      </c>
      <c r="F242" s="1">
        <v>2011</v>
      </c>
      <c r="G242" s="1">
        <v>2011</v>
      </c>
      <c r="H242" s="1" t="s">
        <v>631</v>
      </c>
      <c r="I242" s="4" t="s">
        <v>633</v>
      </c>
      <c r="J242" s="4" t="s">
        <v>30</v>
      </c>
      <c r="K242" s="1" t="str">
        <f>CONCATENATE("011010140089","")</f>
        <v>011010140089</v>
      </c>
      <c r="L242" s="1" t="s">
        <v>31</v>
      </c>
      <c r="M242" s="1">
        <v>466.4</v>
      </c>
      <c r="N242" s="1" t="s">
        <v>632</v>
      </c>
      <c r="O242" s="1">
        <v>2011</v>
      </c>
      <c r="P242" s="1"/>
      <c r="Q242" t="s">
        <v>51</v>
      </c>
      <c r="R242" t="s">
        <v>35</v>
      </c>
      <c r="T242">
        <v>256</v>
      </c>
      <c r="U242" t="s">
        <v>36</v>
      </c>
      <c r="W242" t="s">
        <v>580</v>
      </c>
    </row>
    <row r="243" spans="1:23" ht="25.05" customHeight="1" x14ac:dyDescent="0.3">
      <c r="A243" s="1">
        <v>244</v>
      </c>
      <c r="B243" s="1" t="s">
        <v>25</v>
      </c>
      <c r="C243" s="7" t="s">
        <v>1308</v>
      </c>
      <c r="D243" s="1" t="s">
        <v>1309</v>
      </c>
      <c r="E243" s="1" t="s">
        <v>1310</v>
      </c>
      <c r="F243" s="1">
        <v>2015</v>
      </c>
      <c r="G243" s="1">
        <v>2015</v>
      </c>
      <c r="H243" s="1" t="s">
        <v>1311</v>
      </c>
      <c r="I243" s="4" t="s">
        <v>1313</v>
      </c>
      <c r="J243" s="4" t="s">
        <v>30</v>
      </c>
      <c r="K243" s="1" t="str">
        <f>CONCATENATE("011010178954","")</f>
        <v>011010178954</v>
      </c>
      <c r="L243" s="1" t="s">
        <v>31</v>
      </c>
      <c r="M243" s="1">
        <v>483.8</v>
      </c>
      <c r="N243" s="1" t="s">
        <v>1312</v>
      </c>
      <c r="O243" s="1">
        <v>2015</v>
      </c>
      <c r="P243" s="1"/>
      <c r="Q243" t="s">
        <v>51</v>
      </c>
      <c r="R243" t="s">
        <v>35</v>
      </c>
      <c r="T243">
        <v>343</v>
      </c>
      <c r="U243" t="s">
        <v>36</v>
      </c>
      <c r="W243" t="s">
        <v>1314</v>
      </c>
    </row>
    <row r="244" spans="1:23" ht="25.05" customHeight="1" x14ac:dyDescent="0.3">
      <c r="A244" s="1">
        <v>158</v>
      </c>
      <c r="B244" s="1" t="s">
        <v>25</v>
      </c>
      <c r="C244" s="7" t="s">
        <v>888</v>
      </c>
      <c r="D244" s="1"/>
      <c r="E244" s="1" t="s">
        <v>373</v>
      </c>
      <c r="F244" s="1">
        <v>2012</v>
      </c>
      <c r="G244" s="1">
        <v>2012</v>
      </c>
      <c r="H244" s="1" t="s">
        <v>889</v>
      </c>
      <c r="I244" s="4" t="s">
        <v>891</v>
      </c>
      <c r="J244" s="4" t="s">
        <v>30</v>
      </c>
      <c r="K244" s="1" t="str">
        <f>CONCATENATE("011010159441","")</f>
        <v>011010159441</v>
      </c>
      <c r="L244" s="1" t="s">
        <v>31</v>
      </c>
      <c r="M244" s="1">
        <v>483.8</v>
      </c>
      <c r="N244" s="1" t="s">
        <v>890</v>
      </c>
      <c r="O244" s="1">
        <v>2012</v>
      </c>
      <c r="P244" s="1"/>
      <c r="Q244" t="s">
        <v>51</v>
      </c>
      <c r="R244" t="s">
        <v>35</v>
      </c>
      <c r="T244">
        <v>399</v>
      </c>
      <c r="U244" t="s">
        <v>36</v>
      </c>
      <c r="W244" t="s">
        <v>892</v>
      </c>
    </row>
    <row r="245" spans="1:23" ht="25.05" customHeight="1" x14ac:dyDescent="0.3">
      <c r="A245" s="1">
        <v>37</v>
      </c>
      <c r="B245" s="1" t="s">
        <v>25</v>
      </c>
      <c r="C245" s="7" t="s">
        <v>256</v>
      </c>
      <c r="D245" s="1" t="s">
        <v>257</v>
      </c>
      <c r="E245" s="1" t="s">
        <v>258</v>
      </c>
      <c r="F245" s="1" t="s">
        <v>259</v>
      </c>
      <c r="G245" s="1">
        <v>2008</v>
      </c>
      <c r="H245" s="1" t="s">
        <v>260</v>
      </c>
      <c r="I245" s="4" t="s">
        <v>262</v>
      </c>
      <c r="J245" s="4" t="s">
        <v>30</v>
      </c>
      <c r="K245" s="1" t="str">
        <f>CONCATENATE("011010095297","")</f>
        <v>011010095297</v>
      </c>
      <c r="L245" s="1" t="s">
        <v>31</v>
      </c>
      <c r="M245" s="1">
        <v>538.70000000000005</v>
      </c>
      <c r="N245" s="1" t="s">
        <v>261</v>
      </c>
      <c r="O245" s="1">
        <v>2008</v>
      </c>
      <c r="P245" s="1"/>
      <c r="Q245" t="s">
        <v>51</v>
      </c>
      <c r="R245" t="s">
        <v>35</v>
      </c>
      <c r="T245">
        <v>172</v>
      </c>
      <c r="U245" t="s">
        <v>36</v>
      </c>
      <c r="W245" t="s">
        <v>263</v>
      </c>
    </row>
    <row r="246" spans="1:23" ht="25.05" customHeight="1" x14ac:dyDescent="0.3">
      <c r="A246" s="1">
        <v>204</v>
      </c>
      <c r="B246" s="1" t="s">
        <v>25</v>
      </c>
      <c r="C246" s="7" t="s">
        <v>1132</v>
      </c>
      <c r="D246" s="1" t="s">
        <v>1133</v>
      </c>
      <c r="E246" s="1" t="s">
        <v>1134</v>
      </c>
      <c r="F246" s="1" t="s">
        <v>1135</v>
      </c>
      <c r="G246" s="1">
        <v>2017</v>
      </c>
      <c r="H246" s="1" t="s">
        <v>1136</v>
      </c>
      <c r="I246" s="4" t="s">
        <v>1138</v>
      </c>
      <c r="J246" s="4" t="s">
        <v>30</v>
      </c>
      <c r="K246" s="1" t="str">
        <f>CONCATENATE("011010172610","")</f>
        <v>011010172610</v>
      </c>
      <c r="L246" s="1" t="s">
        <v>31</v>
      </c>
      <c r="M246" s="1">
        <v>538.70000000000005</v>
      </c>
      <c r="N246" s="1" t="s">
        <v>1137</v>
      </c>
      <c r="O246" s="1">
        <v>2017</v>
      </c>
      <c r="P246" s="1"/>
      <c r="Q246" t="s">
        <v>51</v>
      </c>
      <c r="R246" t="s">
        <v>35</v>
      </c>
      <c r="T246">
        <v>441</v>
      </c>
      <c r="U246" t="s">
        <v>36</v>
      </c>
      <c r="W246" t="s">
        <v>1111</v>
      </c>
    </row>
    <row r="247" spans="1:23" ht="25.05" customHeight="1" x14ac:dyDescent="0.3">
      <c r="A247" s="1">
        <v>133</v>
      </c>
      <c r="B247" s="1" t="s">
        <v>25</v>
      </c>
      <c r="C247" s="7" t="s">
        <v>740</v>
      </c>
      <c r="D247" s="1" t="s">
        <v>741</v>
      </c>
      <c r="E247" s="1" t="s">
        <v>742</v>
      </c>
      <c r="F247" s="1">
        <v>2013</v>
      </c>
      <c r="G247" s="1">
        <v>2013</v>
      </c>
      <c r="H247" s="1" t="s">
        <v>743</v>
      </c>
      <c r="I247" s="4" t="s">
        <v>745</v>
      </c>
      <c r="J247" s="4" t="s">
        <v>30</v>
      </c>
      <c r="K247" s="1" t="str">
        <f>CONCATENATE("011010144150","")</f>
        <v>011010144150</v>
      </c>
      <c r="L247" s="1" t="s">
        <v>31</v>
      </c>
      <c r="M247" s="1">
        <v>538.71</v>
      </c>
      <c r="N247" s="1" t="s">
        <v>744</v>
      </c>
      <c r="O247" s="1">
        <v>2013</v>
      </c>
      <c r="P247" s="1"/>
      <c r="Q247" t="s">
        <v>51</v>
      </c>
      <c r="R247" t="s">
        <v>35</v>
      </c>
      <c r="T247">
        <v>349</v>
      </c>
      <c r="U247" t="s">
        <v>36</v>
      </c>
      <c r="W247" t="s">
        <v>746</v>
      </c>
    </row>
    <row r="248" spans="1:23" ht="25.05" customHeight="1" x14ac:dyDescent="0.3">
      <c r="A248" s="1">
        <v>185</v>
      </c>
      <c r="B248" s="1" t="s">
        <v>25</v>
      </c>
      <c r="C248" s="7" t="s">
        <v>1029</v>
      </c>
      <c r="D248" s="1" t="s">
        <v>1030</v>
      </c>
      <c r="E248" s="1" t="s">
        <v>154</v>
      </c>
      <c r="F248" s="1" t="s">
        <v>884</v>
      </c>
      <c r="G248" s="1">
        <v>2015</v>
      </c>
      <c r="H248" s="1" t="s">
        <v>1031</v>
      </c>
      <c r="I248" s="4" t="s">
        <v>1033</v>
      </c>
      <c r="J248" s="4" t="s">
        <v>30</v>
      </c>
      <c r="K248" s="1" t="str">
        <f>CONCATENATE("011010165040","")</f>
        <v>011010165040</v>
      </c>
      <c r="L248" s="1" t="s">
        <v>31</v>
      </c>
      <c r="M248" s="1">
        <v>538.74</v>
      </c>
      <c r="N248" s="1" t="s">
        <v>1032</v>
      </c>
      <c r="O248" s="1">
        <v>2015</v>
      </c>
      <c r="P248" s="1"/>
      <c r="Q248" t="s">
        <v>51</v>
      </c>
      <c r="R248" t="s">
        <v>35</v>
      </c>
      <c r="T248">
        <v>217</v>
      </c>
      <c r="U248" t="s">
        <v>36</v>
      </c>
      <c r="W248" t="s">
        <v>1028</v>
      </c>
    </row>
    <row r="249" spans="1:23" ht="25.05" customHeight="1" x14ac:dyDescent="0.3">
      <c r="A249" s="1">
        <v>29</v>
      </c>
      <c r="B249" s="1" t="s">
        <v>25</v>
      </c>
      <c r="C249" s="7" t="s">
        <v>211</v>
      </c>
      <c r="D249" s="1" t="s">
        <v>212</v>
      </c>
      <c r="E249" s="1" t="s">
        <v>213</v>
      </c>
      <c r="F249" s="1" t="s">
        <v>201</v>
      </c>
      <c r="G249" s="1">
        <v>2006</v>
      </c>
      <c r="H249" s="1" t="s">
        <v>214</v>
      </c>
      <c r="I249" s="4" t="s">
        <v>216</v>
      </c>
      <c r="J249" s="4" t="s">
        <v>30</v>
      </c>
      <c r="K249" s="1" t="str">
        <f>CONCATENATE("011010088606","")</f>
        <v>011010088606</v>
      </c>
      <c r="L249" s="1" t="s">
        <v>31</v>
      </c>
      <c r="M249" s="1">
        <v>538.78</v>
      </c>
      <c r="N249" s="1" t="s">
        <v>215</v>
      </c>
      <c r="O249" s="1">
        <v>2006</v>
      </c>
      <c r="P249" s="1"/>
      <c r="Q249" t="s">
        <v>51</v>
      </c>
      <c r="R249" t="s">
        <v>35</v>
      </c>
      <c r="T249">
        <v>267</v>
      </c>
      <c r="U249" t="s">
        <v>36</v>
      </c>
      <c r="W249" t="s">
        <v>217</v>
      </c>
    </row>
    <row r="250" spans="1:23" ht="25.05" customHeight="1" x14ac:dyDescent="0.3">
      <c r="A250" s="1">
        <v>239</v>
      </c>
      <c r="B250" s="1" t="s">
        <v>25</v>
      </c>
      <c r="C250" s="7" t="s">
        <v>1280</v>
      </c>
      <c r="D250" s="1" t="s">
        <v>1281</v>
      </c>
      <c r="E250" s="1" t="s">
        <v>1254</v>
      </c>
      <c r="F250" s="1">
        <v>2017</v>
      </c>
      <c r="G250" s="1">
        <v>2017</v>
      </c>
      <c r="H250" s="1" t="s">
        <v>1282</v>
      </c>
      <c r="I250" s="4" t="s">
        <v>1284</v>
      </c>
      <c r="J250" s="4" t="s">
        <v>30</v>
      </c>
      <c r="K250" s="1" t="str">
        <f>CONCATENATE("011010176153","")</f>
        <v>011010176153</v>
      </c>
      <c r="L250" s="1" t="s">
        <v>31</v>
      </c>
      <c r="M250" s="1">
        <v>538.78200000000004</v>
      </c>
      <c r="N250" s="1" t="s">
        <v>1283</v>
      </c>
      <c r="O250" s="1">
        <v>2017</v>
      </c>
      <c r="P250" s="1"/>
      <c r="Q250" t="s">
        <v>51</v>
      </c>
      <c r="R250" t="s">
        <v>35</v>
      </c>
      <c r="T250">
        <v>254</v>
      </c>
      <c r="U250" t="s">
        <v>36</v>
      </c>
      <c r="W250" t="s">
        <v>1251</v>
      </c>
    </row>
    <row r="251" spans="1:23" ht="25.05" customHeight="1" x14ac:dyDescent="0.3">
      <c r="A251" s="1">
        <v>49</v>
      </c>
      <c r="B251" s="1" t="s">
        <v>25</v>
      </c>
      <c r="C251" s="7" t="s">
        <v>312</v>
      </c>
      <c r="D251" s="1" t="s">
        <v>313</v>
      </c>
      <c r="E251" s="1" t="s">
        <v>94</v>
      </c>
      <c r="F251" s="1" t="s">
        <v>167</v>
      </c>
      <c r="G251" s="1">
        <v>2002</v>
      </c>
      <c r="H251" s="1" t="s">
        <v>314</v>
      </c>
      <c r="I251" s="4" t="s">
        <v>316</v>
      </c>
      <c r="J251" s="4" t="s">
        <v>30</v>
      </c>
      <c r="K251" s="1" t="str">
        <f>CONCATENATE("011010103761","")</f>
        <v>011010103761</v>
      </c>
      <c r="L251" s="1" t="s">
        <v>31</v>
      </c>
      <c r="M251" s="1">
        <v>538.78309999999999</v>
      </c>
      <c r="N251" s="1" t="s">
        <v>315</v>
      </c>
      <c r="O251" s="1"/>
      <c r="P251" s="1"/>
      <c r="Q251" t="s">
        <v>51</v>
      </c>
      <c r="R251" t="s">
        <v>35</v>
      </c>
      <c r="T251">
        <v>102</v>
      </c>
      <c r="U251" t="s">
        <v>36</v>
      </c>
      <c r="W251" t="s">
        <v>317</v>
      </c>
    </row>
    <row r="252" spans="1:23" ht="25.05" customHeight="1" x14ac:dyDescent="0.3">
      <c r="A252" s="1">
        <v>234</v>
      </c>
      <c r="B252" s="1" t="s">
        <v>25</v>
      </c>
      <c r="C252" s="7" t="s">
        <v>1252</v>
      </c>
      <c r="D252" s="1" t="s">
        <v>1253</v>
      </c>
      <c r="E252" s="1" t="s">
        <v>1254</v>
      </c>
      <c r="F252" s="1">
        <v>2018</v>
      </c>
      <c r="G252" s="1">
        <v>2018</v>
      </c>
      <c r="H252" s="1" t="s">
        <v>1255</v>
      </c>
      <c r="I252" s="4" t="s">
        <v>1257</v>
      </c>
      <c r="J252" s="4" t="s">
        <v>30</v>
      </c>
      <c r="K252" s="1" t="str">
        <f>CONCATENATE("011010175706","")</f>
        <v>011010175706</v>
      </c>
      <c r="L252" s="1" t="s">
        <v>31</v>
      </c>
      <c r="M252" s="1">
        <v>538.78309999999999</v>
      </c>
      <c r="N252" s="1" t="s">
        <v>1256</v>
      </c>
      <c r="O252" s="1">
        <v>2018</v>
      </c>
      <c r="P252" s="1"/>
      <c r="Q252" t="s">
        <v>51</v>
      </c>
      <c r="R252" t="s">
        <v>35</v>
      </c>
      <c r="T252">
        <v>270</v>
      </c>
      <c r="U252" t="s">
        <v>36</v>
      </c>
      <c r="W252" t="s">
        <v>1251</v>
      </c>
    </row>
    <row r="253" spans="1:23" ht="25.05" customHeight="1" x14ac:dyDescent="0.3">
      <c r="A253" s="1">
        <v>186</v>
      </c>
      <c r="B253" s="1" t="s">
        <v>25</v>
      </c>
      <c r="C253" s="7" t="s">
        <v>1034</v>
      </c>
      <c r="D253" s="1" t="s">
        <v>1035</v>
      </c>
      <c r="E253" s="1" t="s">
        <v>1036</v>
      </c>
      <c r="F253" s="1" t="s">
        <v>884</v>
      </c>
      <c r="G253" s="1">
        <v>2015</v>
      </c>
      <c r="H253" s="1" t="s">
        <v>1037</v>
      </c>
      <c r="I253" s="4" t="s">
        <v>1039</v>
      </c>
      <c r="J253" s="4" t="s">
        <v>30</v>
      </c>
      <c r="K253" s="1" t="str">
        <f>CONCATENATE("011010165078","")</f>
        <v>011010165078</v>
      </c>
      <c r="L253" s="1" t="s">
        <v>31</v>
      </c>
      <c r="M253" s="1">
        <v>538.78309999999999</v>
      </c>
      <c r="N253" s="1" t="s">
        <v>1038</v>
      </c>
      <c r="O253" s="1">
        <v>2015</v>
      </c>
      <c r="P253" s="1"/>
      <c r="Q253" t="s">
        <v>51</v>
      </c>
      <c r="R253" t="s">
        <v>35</v>
      </c>
      <c r="T253">
        <v>182</v>
      </c>
      <c r="U253" t="s">
        <v>36</v>
      </c>
      <c r="W253" t="s">
        <v>1028</v>
      </c>
    </row>
    <row r="254" spans="1:23" ht="25.05" customHeight="1" x14ac:dyDescent="0.3">
      <c r="A254" s="1">
        <v>249</v>
      </c>
      <c r="B254" s="1" t="s">
        <v>25</v>
      </c>
      <c r="C254" s="7" t="s">
        <v>1340</v>
      </c>
      <c r="D254" s="1" t="s">
        <v>1341</v>
      </c>
      <c r="E254" s="1" t="s">
        <v>1342</v>
      </c>
      <c r="F254" s="1">
        <v>2016</v>
      </c>
      <c r="G254" s="1">
        <v>2016</v>
      </c>
      <c r="H254" s="1" t="s">
        <v>1343</v>
      </c>
      <c r="I254" s="4" t="s">
        <v>1345</v>
      </c>
      <c r="J254" s="4" t="s">
        <v>30</v>
      </c>
      <c r="K254" s="1" t="str">
        <f>CONCATENATE("011010179172","")</f>
        <v>011010179172</v>
      </c>
      <c r="L254" s="1" t="s">
        <v>31</v>
      </c>
      <c r="M254" s="1">
        <v>538.78309999999999</v>
      </c>
      <c r="N254" s="1" t="s">
        <v>1344</v>
      </c>
      <c r="O254" s="1">
        <v>2016</v>
      </c>
      <c r="P254" s="1"/>
      <c r="Q254" t="s">
        <v>51</v>
      </c>
      <c r="R254" t="s">
        <v>35</v>
      </c>
      <c r="T254">
        <v>270</v>
      </c>
      <c r="U254" t="s">
        <v>36</v>
      </c>
      <c r="W254" t="s">
        <v>1346</v>
      </c>
    </row>
    <row r="255" spans="1:23" ht="25.05" customHeight="1" x14ac:dyDescent="0.3">
      <c r="A255" s="1">
        <v>174</v>
      </c>
      <c r="B255" s="1" t="s">
        <v>25</v>
      </c>
      <c r="C255" s="7" t="s">
        <v>969</v>
      </c>
      <c r="D255" s="1" t="s">
        <v>970</v>
      </c>
      <c r="E255" s="1" t="s">
        <v>373</v>
      </c>
      <c r="F255" s="1">
        <v>2015.08</v>
      </c>
      <c r="G255" s="1">
        <v>2015</v>
      </c>
      <c r="H255" s="1" t="s">
        <v>971</v>
      </c>
      <c r="I255" s="4" t="s">
        <v>973</v>
      </c>
      <c r="J255" s="4" t="s">
        <v>30</v>
      </c>
      <c r="K255" s="1" t="str">
        <f>CONCATENATE("011010164182","")</f>
        <v>011010164182</v>
      </c>
      <c r="L255" s="1" t="s">
        <v>31</v>
      </c>
      <c r="M255" s="1">
        <v>538.78409999999997</v>
      </c>
      <c r="N255" s="1" t="s">
        <v>972</v>
      </c>
      <c r="O255" s="1">
        <v>2015</v>
      </c>
      <c r="P255" s="1"/>
      <c r="Q255" t="s">
        <v>51</v>
      </c>
      <c r="R255" t="s">
        <v>35</v>
      </c>
      <c r="T255">
        <v>804</v>
      </c>
      <c r="U255" t="s">
        <v>36</v>
      </c>
      <c r="W255" t="s">
        <v>909</v>
      </c>
    </row>
    <row r="256" spans="1:23" ht="25.05" customHeight="1" x14ac:dyDescent="0.3">
      <c r="A256" s="1">
        <v>69</v>
      </c>
      <c r="B256" s="1" t="s">
        <v>25</v>
      </c>
      <c r="C256" s="7" t="s">
        <v>391</v>
      </c>
      <c r="D256" s="1" t="s">
        <v>392</v>
      </c>
      <c r="E256" s="1" t="s">
        <v>393</v>
      </c>
      <c r="F256" s="1" t="s">
        <v>394</v>
      </c>
      <c r="G256" s="1">
        <v>2009</v>
      </c>
      <c r="H256" s="1" t="s">
        <v>395</v>
      </c>
      <c r="I256" s="4" t="s">
        <v>397</v>
      </c>
      <c r="J256" s="4" t="s">
        <v>30</v>
      </c>
      <c r="K256" s="1" t="str">
        <f>CONCATENATE("011010120784","")</f>
        <v>011010120784</v>
      </c>
      <c r="L256" s="1" t="s">
        <v>31</v>
      </c>
      <c r="M256" s="1">
        <v>538.78420000000006</v>
      </c>
      <c r="N256" s="1" t="s">
        <v>396</v>
      </c>
      <c r="O256" s="1">
        <v>2009</v>
      </c>
      <c r="P256" s="1"/>
      <c r="Q256" t="s">
        <v>51</v>
      </c>
      <c r="R256" t="s">
        <v>35</v>
      </c>
      <c r="T256">
        <v>270</v>
      </c>
      <c r="U256" t="s">
        <v>36</v>
      </c>
      <c r="W256" t="s">
        <v>398</v>
      </c>
    </row>
    <row r="257" spans="1:23" ht="25.05" customHeight="1" x14ac:dyDescent="0.3">
      <c r="A257" s="1">
        <v>87</v>
      </c>
      <c r="B257" s="1" t="s">
        <v>25</v>
      </c>
      <c r="C257" s="7" t="s">
        <v>483</v>
      </c>
      <c r="D257" s="1" t="s">
        <v>484</v>
      </c>
      <c r="E257" s="1" t="s">
        <v>485</v>
      </c>
      <c r="F257" s="1">
        <v>2007</v>
      </c>
      <c r="G257" s="1">
        <v>2007</v>
      </c>
      <c r="H257" s="1" t="s">
        <v>486</v>
      </c>
      <c r="I257" s="4" t="s">
        <v>488</v>
      </c>
      <c r="J257" s="4" t="s">
        <v>30</v>
      </c>
      <c r="K257" s="1" t="str">
        <f>CONCATENATE("011010129279","")</f>
        <v>011010129279</v>
      </c>
      <c r="L257" s="1" t="s">
        <v>31</v>
      </c>
      <c r="M257" s="1">
        <v>855</v>
      </c>
      <c r="N257" s="1" t="s">
        <v>487</v>
      </c>
      <c r="O257" s="1">
        <v>2007</v>
      </c>
      <c r="P257" s="1"/>
      <c r="Q257" t="s">
        <v>51</v>
      </c>
      <c r="R257" t="s">
        <v>35</v>
      </c>
      <c r="T257">
        <v>274</v>
      </c>
      <c r="U257" t="s">
        <v>36</v>
      </c>
      <c r="W257" t="s">
        <v>482</v>
      </c>
    </row>
    <row r="258" spans="1:23" ht="25.05" customHeight="1" x14ac:dyDescent="0.3">
      <c r="A258" s="1">
        <v>157</v>
      </c>
      <c r="B258" s="1" t="s">
        <v>25</v>
      </c>
      <c r="C258" s="7" t="s">
        <v>881</v>
      </c>
      <c r="D258" s="1" t="s">
        <v>882</v>
      </c>
      <c r="E258" s="1" t="s">
        <v>883</v>
      </c>
      <c r="F258" s="1" t="s">
        <v>884</v>
      </c>
      <c r="G258" s="1">
        <v>2014</v>
      </c>
      <c r="H258" s="1" t="s">
        <v>885</v>
      </c>
      <c r="I258" s="4" t="s">
        <v>887</v>
      </c>
      <c r="J258" s="4" t="s">
        <v>30</v>
      </c>
      <c r="K258" s="1" t="str">
        <f>CONCATENATE("011010157791","")</f>
        <v>011010157791</v>
      </c>
      <c r="L258" s="1" t="s">
        <v>31</v>
      </c>
      <c r="M258" s="1">
        <v>855</v>
      </c>
      <c r="N258" s="1" t="s">
        <v>886</v>
      </c>
      <c r="O258" s="1">
        <v>2015</v>
      </c>
      <c r="P258" s="1"/>
      <c r="Q258" t="s">
        <v>51</v>
      </c>
      <c r="R258" t="s">
        <v>35</v>
      </c>
      <c r="T258">
        <v>211</v>
      </c>
      <c r="U258" t="s">
        <v>36</v>
      </c>
      <c r="W258" t="s">
        <v>880</v>
      </c>
    </row>
    <row r="259" spans="1:23" ht="25.05" customHeight="1" x14ac:dyDescent="0.3">
      <c r="A259" s="1">
        <v>50</v>
      </c>
      <c r="B259" s="1" t="s">
        <v>25</v>
      </c>
      <c r="C259" s="7" t="s">
        <v>318</v>
      </c>
      <c r="D259" s="1" t="s">
        <v>319</v>
      </c>
      <c r="E259" s="1" t="s">
        <v>320</v>
      </c>
      <c r="F259" s="1" t="s">
        <v>307</v>
      </c>
      <c r="G259" s="1">
        <v>2004</v>
      </c>
      <c r="H259" s="1" t="s">
        <v>321</v>
      </c>
      <c r="I259" s="4" t="s">
        <v>323</v>
      </c>
      <c r="J259" s="4" t="s">
        <v>30</v>
      </c>
      <c r="K259" s="1" t="str">
        <f>CONCATENATE("011010106010","")</f>
        <v>011010106010</v>
      </c>
      <c r="L259" s="1" t="s">
        <v>31</v>
      </c>
      <c r="M259" s="1">
        <v>861.57</v>
      </c>
      <c r="N259" s="1" t="s">
        <v>322</v>
      </c>
      <c r="O259" s="1"/>
      <c r="P259" s="1"/>
      <c r="Q259" t="s">
        <v>51</v>
      </c>
      <c r="R259" t="s">
        <v>35</v>
      </c>
      <c r="T259">
        <v>194</v>
      </c>
      <c r="U259" t="s">
        <v>36</v>
      </c>
      <c r="W259" t="s">
        <v>324</v>
      </c>
    </row>
    <row r="260" spans="1:23" ht="25.05" customHeight="1" x14ac:dyDescent="0.3">
      <c r="A260" s="1">
        <v>209</v>
      </c>
      <c r="B260" s="1" t="s">
        <v>25</v>
      </c>
      <c r="C260" s="7" t="s">
        <v>1162</v>
      </c>
      <c r="D260" s="1" t="s">
        <v>1163</v>
      </c>
      <c r="E260" s="1" t="s">
        <v>1164</v>
      </c>
      <c r="F260" s="1">
        <v>2014</v>
      </c>
      <c r="G260" s="1">
        <v>2014</v>
      </c>
      <c r="H260" s="1" t="s">
        <v>1165</v>
      </c>
      <c r="I260" s="4" t="s">
        <v>1167</v>
      </c>
      <c r="J260" s="4" t="s">
        <v>30</v>
      </c>
      <c r="K260" s="1" t="str">
        <f>CONCATENATE("011010173577","")</f>
        <v>011010173577</v>
      </c>
      <c r="L260" s="1" t="s">
        <v>31</v>
      </c>
      <c r="M260" s="1">
        <v>861.57</v>
      </c>
      <c r="N260" s="1" t="s">
        <v>1166</v>
      </c>
      <c r="O260" s="1">
        <v>2014</v>
      </c>
      <c r="P260" s="1" t="s">
        <v>360</v>
      </c>
      <c r="Q260" t="s">
        <v>51</v>
      </c>
      <c r="R260" t="s">
        <v>35</v>
      </c>
      <c r="T260">
        <v>199</v>
      </c>
      <c r="U260" t="s">
        <v>36</v>
      </c>
      <c r="W260" t="s">
        <v>1168</v>
      </c>
    </row>
    <row r="261" spans="1:23" ht="25.05" customHeight="1" x14ac:dyDescent="0.3">
      <c r="A261" s="1">
        <v>103</v>
      </c>
      <c r="B261" s="1" t="s">
        <v>25</v>
      </c>
      <c r="C261" s="7" t="s">
        <v>569</v>
      </c>
      <c r="D261" s="1" t="s">
        <v>570</v>
      </c>
      <c r="E261" s="1" t="s">
        <v>277</v>
      </c>
      <c r="F261" s="1">
        <v>2007</v>
      </c>
      <c r="G261" s="1">
        <v>2007</v>
      </c>
      <c r="H261" s="1" t="s">
        <v>571</v>
      </c>
      <c r="I261" s="4" t="s">
        <v>573</v>
      </c>
      <c r="J261" s="4" t="s">
        <v>30</v>
      </c>
      <c r="K261" s="1" t="str">
        <f>CONCATENATE("011010137107","")</f>
        <v>011010137107</v>
      </c>
      <c r="L261" s="1" t="s">
        <v>31</v>
      </c>
      <c r="M261" s="1">
        <v>861.6</v>
      </c>
      <c r="N261" s="1" t="s">
        <v>572</v>
      </c>
      <c r="O261" s="1">
        <v>2007</v>
      </c>
      <c r="P261" s="1"/>
      <c r="Q261" t="s">
        <v>51</v>
      </c>
      <c r="R261" t="s">
        <v>35</v>
      </c>
      <c r="T261">
        <v>184</v>
      </c>
      <c r="U261" t="s">
        <v>36</v>
      </c>
      <c r="W261" t="s">
        <v>574</v>
      </c>
    </row>
    <row r="262" spans="1:23" ht="25.05" customHeight="1" x14ac:dyDescent="0.3">
      <c r="A262" s="1">
        <v>189</v>
      </c>
      <c r="B262" s="1" t="s">
        <v>25</v>
      </c>
      <c r="C262" s="7" t="s">
        <v>1051</v>
      </c>
      <c r="D262" s="1" t="s">
        <v>1052</v>
      </c>
      <c r="E262" s="1" t="s">
        <v>1053</v>
      </c>
      <c r="F262" s="1" t="s">
        <v>995</v>
      </c>
      <c r="G262" s="1">
        <v>2016</v>
      </c>
      <c r="H262" s="1" t="s">
        <v>1054</v>
      </c>
      <c r="I262" s="4" t="s">
        <v>1056</v>
      </c>
      <c r="J262" s="4" t="s">
        <v>30</v>
      </c>
      <c r="K262" s="1" t="str">
        <f>CONCATENATE("011010165175","")</f>
        <v>011010165175</v>
      </c>
      <c r="L262" s="1" t="s">
        <v>31</v>
      </c>
      <c r="M262" s="1">
        <v>992.78</v>
      </c>
      <c r="N262" s="1" t="s">
        <v>1055</v>
      </c>
      <c r="O262" s="1">
        <v>2016</v>
      </c>
      <c r="P262" s="1"/>
      <c r="Q262" t="s">
        <v>51</v>
      </c>
      <c r="R262" t="s">
        <v>35</v>
      </c>
      <c r="T262">
        <v>380</v>
      </c>
      <c r="U262" t="s">
        <v>36</v>
      </c>
      <c r="W262" t="s">
        <v>991</v>
      </c>
    </row>
    <row r="263" spans="1:23" ht="25.05" customHeight="1" x14ac:dyDescent="0.3">
      <c r="A263" s="1">
        <v>1</v>
      </c>
      <c r="B263" s="1" t="s">
        <v>25</v>
      </c>
      <c r="C263" s="7" t="s">
        <v>44</v>
      </c>
      <c r="D263" s="1" t="s">
        <v>45</v>
      </c>
      <c r="E263" s="1" t="s">
        <v>46</v>
      </c>
      <c r="F263" s="1" t="s">
        <v>47</v>
      </c>
      <c r="G263" s="1">
        <v>1986</v>
      </c>
      <c r="H263" s="1"/>
      <c r="I263" s="4" t="s">
        <v>50</v>
      </c>
      <c r="J263" s="4" t="s">
        <v>48</v>
      </c>
      <c r="K263" s="1" t="str">
        <f>CONCATENATE("011010014329","")</f>
        <v>011010014329</v>
      </c>
      <c r="L263" s="1" t="s">
        <v>31</v>
      </c>
      <c r="M263" s="1">
        <v>418.91</v>
      </c>
      <c r="N263" s="1" t="s">
        <v>49</v>
      </c>
      <c r="O263" s="1"/>
      <c r="P263" s="1"/>
      <c r="Q263" t="s">
        <v>51</v>
      </c>
      <c r="R263" t="s">
        <v>35</v>
      </c>
      <c r="T263">
        <v>0</v>
      </c>
      <c r="U263" t="s">
        <v>36</v>
      </c>
    </row>
    <row r="264" spans="1:23" ht="25.05" customHeight="1" x14ac:dyDescent="0.3">
      <c r="A264" s="1">
        <v>268</v>
      </c>
      <c r="B264" s="1" t="s">
        <v>25</v>
      </c>
      <c r="C264" s="7" t="s">
        <v>1441</v>
      </c>
      <c r="D264" s="1" t="s">
        <v>1442</v>
      </c>
      <c r="E264" s="1" t="s">
        <v>1443</v>
      </c>
      <c r="F264" s="1" t="s">
        <v>1444</v>
      </c>
      <c r="G264" s="1" t="s">
        <v>1444</v>
      </c>
      <c r="H264" s="1"/>
      <c r="I264" s="4" t="s">
        <v>1447</v>
      </c>
      <c r="J264" s="4" t="s">
        <v>1445</v>
      </c>
      <c r="K264" s="1" t="str">
        <f>CONCATENATE("011030002479","")</f>
        <v>011030002479</v>
      </c>
      <c r="L264" s="1" t="s">
        <v>1446</v>
      </c>
      <c r="M264" s="1">
        <v>427.11</v>
      </c>
      <c r="N264" s="1" t="s">
        <v>175</v>
      </c>
      <c r="O264" s="1"/>
      <c r="P264" s="1" t="s">
        <v>668</v>
      </c>
      <c r="Q264" t="s">
        <v>51</v>
      </c>
      <c r="R264" t="s">
        <v>1448</v>
      </c>
      <c r="T264">
        <v>1490</v>
      </c>
      <c r="U264" t="s">
        <v>36</v>
      </c>
    </row>
    <row r="265" spans="1:23" ht="25.05" customHeight="1" x14ac:dyDescent="0.3">
      <c r="A265" s="1">
        <v>44</v>
      </c>
      <c r="B265" s="1" t="s">
        <v>25</v>
      </c>
      <c r="C265" s="7" t="s">
        <v>2062</v>
      </c>
      <c r="D265" s="1" t="s">
        <v>2063</v>
      </c>
      <c r="E265" s="1" t="s">
        <v>2064</v>
      </c>
      <c r="F265" s="1">
        <v>2010</v>
      </c>
      <c r="G265" s="1">
        <v>2010</v>
      </c>
      <c r="H265" s="1"/>
      <c r="I265" s="4" t="s">
        <v>2066</v>
      </c>
      <c r="J265" s="4" t="s">
        <v>1445</v>
      </c>
      <c r="K265" s="1" t="str">
        <f>CONCATENATE("011030012017","")</f>
        <v>011030012017</v>
      </c>
      <c r="L265" s="1" t="s">
        <v>1449</v>
      </c>
      <c r="M265" s="1">
        <v>987.83</v>
      </c>
      <c r="N265" s="1" t="s">
        <v>2065</v>
      </c>
      <c r="O265" s="1">
        <v>2010</v>
      </c>
      <c r="P265" s="1"/>
      <c r="Q265" t="s">
        <v>51</v>
      </c>
      <c r="R265" t="s">
        <v>1448</v>
      </c>
      <c r="T265">
        <v>195</v>
      </c>
      <c r="U265" t="s">
        <v>36</v>
      </c>
      <c r="W265" t="s">
        <v>2067</v>
      </c>
    </row>
    <row r="266" spans="1:23" ht="25.05" customHeight="1" x14ac:dyDescent="0.3">
      <c r="A266" s="1">
        <v>45</v>
      </c>
      <c r="B266" s="1" t="s">
        <v>25</v>
      </c>
      <c r="C266" s="7" t="s">
        <v>2068</v>
      </c>
      <c r="D266" s="1" t="s">
        <v>2069</v>
      </c>
      <c r="E266" s="1" t="s">
        <v>2070</v>
      </c>
      <c r="F266" s="1">
        <v>2018</v>
      </c>
      <c r="G266" s="1">
        <v>2018</v>
      </c>
      <c r="H266" s="1"/>
      <c r="I266" s="4" t="s">
        <v>2072</v>
      </c>
      <c r="J266" s="4" t="s">
        <v>1445</v>
      </c>
      <c r="K266" s="1" t="str">
        <f>CONCATENATE("011030015565","")</f>
        <v>011030015565</v>
      </c>
      <c r="L266" s="1" t="s">
        <v>1449</v>
      </c>
      <c r="M266" s="1">
        <v>987.83</v>
      </c>
      <c r="N266" s="1" t="s">
        <v>2071</v>
      </c>
      <c r="O266" s="1">
        <v>2018</v>
      </c>
      <c r="P266" s="1"/>
      <c r="Q266" t="s">
        <v>51</v>
      </c>
      <c r="R266" t="s">
        <v>1448</v>
      </c>
      <c r="T266">
        <v>395</v>
      </c>
      <c r="U266" t="s">
        <v>36</v>
      </c>
      <c r="W266" t="s">
        <v>2073</v>
      </c>
    </row>
    <row r="267" spans="1:23" ht="25.05" customHeight="1" x14ac:dyDescent="0.3">
      <c r="A267" s="1">
        <v>271</v>
      </c>
      <c r="B267" s="1" t="s">
        <v>25</v>
      </c>
      <c r="C267" s="7" t="s">
        <v>1450</v>
      </c>
      <c r="D267" s="1" t="s">
        <v>1451</v>
      </c>
      <c r="E267" s="1" t="s">
        <v>1452</v>
      </c>
      <c r="F267" s="1" t="s">
        <v>394</v>
      </c>
      <c r="G267" s="1">
        <v>2009</v>
      </c>
      <c r="H267" s="1"/>
      <c r="I267" s="4" t="s">
        <v>1454</v>
      </c>
      <c r="J267" s="4" t="s">
        <v>1445</v>
      </c>
      <c r="K267" s="1" t="str">
        <f>CONCATENATE("011030012602","")</f>
        <v>011030012602</v>
      </c>
      <c r="L267" s="1" t="s">
        <v>1449</v>
      </c>
      <c r="M267" s="1">
        <v>987.83</v>
      </c>
      <c r="N267" s="1" t="s">
        <v>1453</v>
      </c>
      <c r="O267" s="1">
        <v>2009</v>
      </c>
      <c r="P267" s="1"/>
      <c r="Q267" t="s">
        <v>51</v>
      </c>
      <c r="R267" t="s">
        <v>1448</v>
      </c>
      <c r="T267">
        <v>342</v>
      </c>
      <c r="U267" t="s">
        <v>36</v>
      </c>
      <c r="W267" t="s">
        <v>1455</v>
      </c>
    </row>
    <row r="268" spans="1:23" ht="25.05" customHeight="1" x14ac:dyDescent="0.3">
      <c r="A268" s="1">
        <v>513</v>
      </c>
      <c r="B268" s="1" t="s">
        <v>25</v>
      </c>
      <c r="C268" s="7" t="s">
        <v>1952</v>
      </c>
      <c r="D268" s="1"/>
      <c r="E268" s="1" t="s">
        <v>1953</v>
      </c>
      <c r="F268" s="1" t="s">
        <v>1917</v>
      </c>
      <c r="G268" s="1">
        <v>2018</v>
      </c>
      <c r="H268" s="1" t="s">
        <v>1954</v>
      </c>
      <c r="I268" s="4" t="s">
        <v>1956</v>
      </c>
      <c r="J268" s="5" t="s">
        <v>1799</v>
      </c>
      <c r="K268" s="1" t="str">
        <f>CONCATENATE("051010002592","")</f>
        <v>051010002592</v>
      </c>
      <c r="L268" s="1" t="s">
        <v>31</v>
      </c>
      <c r="M268" s="1">
        <v>411.3</v>
      </c>
      <c r="N268" s="1" t="s">
        <v>1955</v>
      </c>
      <c r="O268" s="1">
        <v>2018</v>
      </c>
      <c r="P268" s="1"/>
      <c r="Q268" t="s">
        <v>51</v>
      </c>
      <c r="R268" t="s">
        <v>35</v>
      </c>
      <c r="T268">
        <v>270</v>
      </c>
      <c r="U268" t="s">
        <v>36</v>
      </c>
      <c r="W268" t="s">
        <v>1921</v>
      </c>
    </row>
    <row r="269" spans="1:23" ht="25.05" customHeight="1" x14ac:dyDescent="0.3">
      <c r="A269" s="1">
        <v>483</v>
      </c>
      <c r="B269" s="1" t="s">
        <v>25</v>
      </c>
      <c r="C269" s="7" t="s">
        <v>1826</v>
      </c>
      <c r="D269" s="1"/>
      <c r="E269" s="1" t="s">
        <v>609</v>
      </c>
      <c r="F269" s="1" t="s">
        <v>1827</v>
      </c>
      <c r="G269" s="1">
        <v>2015</v>
      </c>
      <c r="H269" s="1" t="s">
        <v>1828</v>
      </c>
      <c r="I269" s="4" t="s">
        <v>1830</v>
      </c>
      <c r="J269" s="5" t="s">
        <v>1799</v>
      </c>
      <c r="K269" s="1" t="str">
        <f>CONCATENATE("051010001457","")</f>
        <v>051010001457</v>
      </c>
      <c r="L269" s="1" t="s">
        <v>31</v>
      </c>
      <c r="M269" s="1">
        <v>411.3</v>
      </c>
      <c r="N269" s="1" t="s">
        <v>1829</v>
      </c>
      <c r="O269" s="1">
        <v>2015</v>
      </c>
      <c r="P269" s="1"/>
      <c r="Q269" t="s">
        <v>51</v>
      </c>
      <c r="R269" t="s">
        <v>35</v>
      </c>
      <c r="T269">
        <v>340</v>
      </c>
      <c r="U269" t="s">
        <v>1831</v>
      </c>
      <c r="W269" t="s">
        <v>1832</v>
      </c>
    </row>
    <row r="270" spans="1:23" ht="25.05" customHeight="1" x14ac:dyDescent="0.3">
      <c r="A270" s="1">
        <v>482</v>
      </c>
      <c r="B270" s="1" t="s">
        <v>25</v>
      </c>
      <c r="C270" s="7" t="s">
        <v>1822</v>
      </c>
      <c r="D270" s="1"/>
      <c r="E270" s="1" t="s">
        <v>806</v>
      </c>
      <c r="F270" s="1" t="s">
        <v>715</v>
      </c>
      <c r="G270" s="1">
        <v>2014</v>
      </c>
      <c r="H270" s="1" t="s">
        <v>1823</v>
      </c>
      <c r="I270" s="4" t="s">
        <v>1825</v>
      </c>
      <c r="J270" s="5" t="s">
        <v>1799</v>
      </c>
      <c r="K270" s="1" t="str">
        <f>CONCATENATE("051010000922","")</f>
        <v>051010000922</v>
      </c>
      <c r="L270" s="1" t="s">
        <v>31</v>
      </c>
      <c r="M270" s="1">
        <v>411.3</v>
      </c>
      <c r="N270" s="1" t="s">
        <v>1824</v>
      </c>
      <c r="O270" s="1">
        <v>2014</v>
      </c>
      <c r="P270" s="1"/>
      <c r="Q270" t="s">
        <v>51</v>
      </c>
      <c r="R270" t="s">
        <v>35</v>
      </c>
      <c r="T270">
        <v>312</v>
      </c>
      <c r="U270" t="s">
        <v>36</v>
      </c>
      <c r="W270" t="s">
        <v>1816</v>
      </c>
    </row>
    <row r="271" spans="1:23" ht="25.05" customHeight="1" x14ac:dyDescent="0.3">
      <c r="A271" s="1">
        <v>481</v>
      </c>
      <c r="B271" s="1" t="s">
        <v>25</v>
      </c>
      <c r="C271" s="7" t="s">
        <v>1817</v>
      </c>
      <c r="D271" s="1"/>
      <c r="E271" s="1" t="s">
        <v>1818</v>
      </c>
      <c r="F271" s="1" t="s">
        <v>715</v>
      </c>
      <c r="G271" s="1">
        <v>2014</v>
      </c>
      <c r="H271" s="1" t="s">
        <v>1819</v>
      </c>
      <c r="I271" s="4" t="s">
        <v>1821</v>
      </c>
      <c r="J271" s="5" t="s">
        <v>1799</v>
      </c>
      <c r="K271" s="1" t="str">
        <f>CONCATENATE("051010000859","")</f>
        <v>051010000859</v>
      </c>
      <c r="L271" s="1" t="s">
        <v>31</v>
      </c>
      <c r="M271" s="1">
        <v>413.98</v>
      </c>
      <c r="N271" s="1" t="s">
        <v>1820</v>
      </c>
      <c r="O271" s="1">
        <v>2014</v>
      </c>
      <c r="P271" s="1"/>
      <c r="Q271" t="s">
        <v>51</v>
      </c>
      <c r="R271" t="s">
        <v>35</v>
      </c>
      <c r="T271">
        <v>288</v>
      </c>
      <c r="U271" t="s">
        <v>36</v>
      </c>
      <c r="W271" t="s">
        <v>1816</v>
      </c>
    </row>
    <row r="272" spans="1:23" ht="25.05" customHeight="1" x14ac:dyDescent="0.3">
      <c r="A272" s="1">
        <v>492</v>
      </c>
      <c r="B272" s="1" t="s">
        <v>25</v>
      </c>
      <c r="C272" s="7" t="s">
        <v>1867</v>
      </c>
      <c r="D272" s="1"/>
      <c r="E272" s="1" t="s">
        <v>1184</v>
      </c>
      <c r="F272" s="1" t="s">
        <v>995</v>
      </c>
      <c r="G272" s="1">
        <v>2016</v>
      </c>
      <c r="H272" s="1" t="s">
        <v>1868</v>
      </c>
      <c r="I272" s="4" t="s">
        <v>1870</v>
      </c>
      <c r="J272" s="5" t="s">
        <v>1799</v>
      </c>
      <c r="K272" s="1" t="str">
        <f>CONCATENATE("051010001855","")</f>
        <v>051010001855</v>
      </c>
      <c r="L272" s="1" t="s">
        <v>31</v>
      </c>
      <c r="M272" s="1">
        <v>427.1</v>
      </c>
      <c r="N272" s="1" t="s">
        <v>1869</v>
      </c>
      <c r="O272" s="1">
        <v>2016</v>
      </c>
      <c r="P272" s="1"/>
      <c r="Q272" t="s">
        <v>51</v>
      </c>
      <c r="R272" t="s">
        <v>35</v>
      </c>
      <c r="T272">
        <v>300</v>
      </c>
      <c r="U272" t="s">
        <v>36</v>
      </c>
      <c r="W272" t="s">
        <v>1838</v>
      </c>
    </row>
    <row r="273" spans="1:23" ht="25.05" customHeight="1" x14ac:dyDescent="0.3">
      <c r="A273" s="1">
        <v>518</v>
      </c>
      <c r="B273" s="1" t="s">
        <v>25</v>
      </c>
      <c r="C273" s="7" t="s">
        <v>1973</v>
      </c>
      <c r="D273" s="1" t="s">
        <v>1392</v>
      </c>
      <c r="E273" s="1" t="s">
        <v>1601</v>
      </c>
      <c r="F273" s="1" t="s">
        <v>1971</v>
      </c>
      <c r="G273" s="1">
        <v>2018</v>
      </c>
      <c r="H273" s="1" t="s">
        <v>1974</v>
      </c>
      <c r="I273" s="4" t="s">
        <v>1976</v>
      </c>
      <c r="J273" s="5" t="s">
        <v>1799</v>
      </c>
      <c r="K273" s="1" t="str">
        <f>CONCATENATE("051010002722","")</f>
        <v>051010002722</v>
      </c>
      <c r="L273" s="1" t="s">
        <v>31</v>
      </c>
      <c r="M273" s="1">
        <v>427.1</v>
      </c>
      <c r="N273" s="1" t="s">
        <v>1975</v>
      </c>
      <c r="O273" s="1">
        <v>2018</v>
      </c>
      <c r="P273" s="1"/>
      <c r="Q273" t="s">
        <v>51</v>
      </c>
      <c r="R273" t="s">
        <v>35</v>
      </c>
      <c r="T273">
        <v>285</v>
      </c>
      <c r="U273" t="s">
        <v>36</v>
      </c>
      <c r="W273" t="s">
        <v>1933</v>
      </c>
    </row>
    <row r="274" spans="1:23" ht="25.05" customHeight="1" x14ac:dyDescent="0.3">
      <c r="A274" s="1">
        <v>506</v>
      </c>
      <c r="B274" s="1" t="s">
        <v>25</v>
      </c>
      <c r="C274" s="7" t="s">
        <v>1934</v>
      </c>
      <c r="D274" s="1" t="s">
        <v>1935</v>
      </c>
      <c r="E274" s="1" t="s">
        <v>1936</v>
      </c>
      <c r="F274" s="1" t="s">
        <v>1917</v>
      </c>
      <c r="G274" s="1">
        <v>2018</v>
      </c>
      <c r="H274" s="1" t="s">
        <v>1937</v>
      </c>
      <c r="I274" s="4" t="s">
        <v>1939</v>
      </c>
      <c r="J274" s="5" t="s">
        <v>1799</v>
      </c>
      <c r="K274" s="1" t="str">
        <f>CONCATENATE("051010002463","")</f>
        <v>051010002463</v>
      </c>
      <c r="L274" s="1" t="s">
        <v>31</v>
      </c>
      <c r="M274" s="1">
        <v>427.1</v>
      </c>
      <c r="N274" s="1" t="s">
        <v>1938</v>
      </c>
      <c r="O274" s="1">
        <v>2018</v>
      </c>
      <c r="P274" s="1"/>
      <c r="Q274" t="s">
        <v>51</v>
      </c>
      <c r="R274" t="s">
        <v>35</v>
      </c>
      <c r="T274">
        <v>340</v>
      </c>
      <c r="U274" t="s">
        <v>36</v>
      </c>
      <c r="W274" t="s">
        <v>1933</v>
      </c>
    </row>
    <row r="275" spans="1:23" ht="25.05" customHeight="1" x14ac:dyDescent="0.3">
      <c r="A275" s="1">
        <v>27</v>
      </c>
      <c r="B275" s="1" t="s">
        <v>25</v>
      </c>
      <c r="C275" s="7" t="s">
        <v>2188</v>
      </c>
      <c r="D275" s="1"/>
      <c r="E275" s="1" t="s">
        <v>1184</v>
      </c>
      <c r="F275" s="1" t="s">
        <v>995</v>
      </c>
      <c r="G275" s="1">
        <v>2016</v>
      </c>
      <c r="H275" s="1" t="s">
        <v>2189</v>
      </c>
      <c r="I275" s="4" t="s">
        <v>2191</v>
      </c>
      <c r="J275" s="5" t="s">
        <v>1799</v>
      </c>
      <c r="K275" s="1" t="str">
        <f>CONCATENATE("051010001854","")</f>
        <v>051010001854</v>
      </c>
      <c r="L275" s="1" t="s">
        <v>31</v>
      </c>
      <c r="M275" s="1">
        <v>427.1</v>
      </c>
      <c r="N275" s="1" t="s">
        <v>2190</v>
      </c>
      <c r="O275" s="1">
        <v>2016</v>
      </c>
      <c r="P275" s="1"/>
      <c r="Q275" t="s">
        <v>51</v>
      </c>
      <c r="R275" t="s">
        <v>35</v>
      </c>
      <c r="T275">
        <v>175</v>
      </c>
      <c r="U275" t="s">
        <v>36</v>
      </c>
      <c r="W275" t="s">
        <v>1838</v>
      </c>
    </row>
    <row r="276" spans="1:23" ht="25.05" customHeight="1" x14ac:dyDescent="0.3">
      <c r="A276" s="1">
        <v>502</v>
      </c>
      <c r="B276" s="1" t="s">
        <v>25</v>
      </c>
      <c r="C276" s="7" t="s">
        <v>1909</v>
      </c>
      <c r="D276" s="1" t="s">
        <v>1910</v>
      </c>
      <c r="E276" s="1" t="s">
        <v>564</v>
      </c>
      <c r="F276" s="1">
        <v>2017</v>
      </c>
      <c r="G276" s="1">
        <v>2017</v>
      </c>
      <c r="H276" s="1" t="s">
        <v>1911</v>
      </c>
      <c r="I276" s="4" t="s">
        <v>1913</v>
      </c>
      <c r="J276" s="5" t="s">
        <v>1799</v>
      </c>
      <c r="K276" s="1" t="str">
        <f>CONCATENATE("051010002256","")</f>
        <v>051010002256</v>
      </c>
      <c r="L276" s="1" t="s">
        <v>31</v>
      </c>
      <c r="M276" s="1">
        <v>427.1</v>
      </c>
      <c r="N276" s="1" t="s">
        <v>1912</v>
      </c>
      <c r="O276" s="1">
        <v>2017</v>
      </c>
      <c r="P276" s="1"/>
      <c r="Q276" t="s">
        <v>274</v>
      </c>
      <c r="R276" t="s">
        <v>35</v>
      </c>
      <c r="T276">
        <v>340</v>
      </c>
      <c r="U276" t="s">
        <v>36</v>
      </c>
      <c r="W276" t="s">
        <v>1893</v>
      </c>
    </row>
    <row r="277" spans="1:23" ht="25.05" customHeight="1" x14ac:dyDescent="0.3">
      <c r="A277" s="1">
        <v>28</v>
      </c>
      <c r="B277" s="1" t="s">
        <v>25</v>
      </c>
      <c r="C277" s="7" t="s">
        <v>2192</v>
      </c>
      <c r="D277" s="1"/>
      <c r="E277" s="1" t="s">
        <v>1184</v>
      </c>
      <c r="F277" s="1" t="s">
        <v>995</v>
      </c>
      <c r="G277" s="1">
        <v>2016</v>
      </c>
      <c r="H277" s="1" t="s">
        <v>2193</v>
      </c>
      <c r="I277" s="4" t="s">
        <v>2195</v>
      </c>
      <c r="J277" s="5" t="s">
        <v>1799</v>
      </c>
      <c r="K277" s="1" t="str">
        <f>CONCATENATE("051010001856","")</f>
        <v>051010001856</v>
      </c>
      <c r="L277" s="1" t="s">
        <v>31</v>
      </c>
      <c r="M277" s="1">
        <v>427.1</v>
      </c>
      <c r="N277" s="1" t="s">
        <v>2194</v>
      </c>
      <c r="O277" s="1">
        <v>2016</v>
      </c>
      <c r="P277" s="1"/>
      <c r="Q277" t="s">
        <v>51</v>
      </c>
      <c r="R277" t="s">
        <v>35</v>
      </c>
      <c r="T277">
        <v>170</v>
      </c>
      <c r="U277" t="s">
        <v>36</v>
      </c>
      <c r="W277" t="s">
        <v>1838</v>
      </c>
    </row>
    <row r="278" spans="1:23" ht="25.05" customHeight="1" x14ac:dyDescent="0.3">
      <c r="A278" s="1">
        <v>479</v>
      </c>
      <c r="B278" s="1" t="s">
        <v>25</v>
      </c>
      <c r="C278" s="7" t="s">
        <v>1804</v>
      </c>
      <c r="D278" s="1" t="s">
        <v>1805</v>
      </c>
      <c r="E278" s="1" t="s">
        <v>1806</v>
      </c>
      <c r="F278" s="1" t="s">
        <v>715</v>
      </c>
      <c r="G278" s="1">
        <v>2014</v>
      </c>
      <c r="H278" s="1" t="s">
        <v>1807</v>
      </c>
      <c r="I278" s="4" t="s">
        <v>1809</v>
      </c>
      <c r="J278" s="5" t="s">
        <v>1799</v>
      </c>
      <c r="K278" s="1" t="str">
        <f>CONCATENATE("051010000508","")</f>
        <v>051010000508</v>
      </c>
      <c r="L278" s="1" t="s">
        <v>31</v>
      </c>
      <c r="M278" s="1">
        <v>427.1</v>
      </c>
      <c r="N278" s="1" t="s">
        <v>1808</v>
      </c>
      <c r="O278" s="1">
        <v>2014</v>
      </c>
      <c r="P278" s="1"/>
      <c r="Q278" t="s">
        <v>51</v>
      </c>
      <c r="R278" t="s">
        <v>35</v>
      </c>
      <c r="T278">
        <v>345</v>
      </c>
      <c r="U278" t="s">
        <v>36</v>
      </c>
    </row>
    <row r="279" spans="1:23" ht="25.05" customHeight="1" x14ac:dyDescent="0.3">
      <c r="A279" s="1">
        <v>488</v>
      </c>
      <c r="B279" s="1" t="s">
        <v>25</v>
      </c>
      <c r="C279" s="7" t="s">
        <v>1845</v>
      </c>
      <c r="D279" s="1" t="s">
        <v>1846</v>
      </c>
      <c r="E279" s="1" t="s">
        <v>1847</v>
      </c>
      <c r="F279" s="1" t="s">
        <v>1848</v>
      </c>
      <c r="G279" s="1">
        <v>2016</v>
      </c>
      <c r="H279" s="1" t="s">
        <v>1849</v>
      </c>
      <c r="I279" s="4" t="s">
        <v>1851</v>
      </c>
      <c r="J279" s="5" t="s">
        <v>1799</v>
      </c>
      <c r="K279" s="1" t="str">
        <f>CONCATENATE("051010001844","")</f>
        <v>051010001844</v>
      </c>
      <c r="L279" s="1" t="s">
        <v>31</v>
      </c>
      <c r="M279" s="1">
        <v>427.1</v>
      </c>
      <c r="N279" s="1" t="s">
        <v>1850</v>
      </c>
      <c r="O279" s="1">
        <v>2016</v>
      </c>
      <c r="P279" s="1"/>
      <c r="Q279" t="s">
        <v>51</v>
      </c>
      <c r="R279" t="s">
        <v>35</v>
      </c>
      <c r="T279">
        <v>170</v>
      </c>
      <c r="U279" t="s">
        <v>36</v>
      </c>
      <c r="W279" t="s">
        <v>1838</v>
      </c>
    </row>
    <row r="280" spans="1:23" ht="25.05" customHeight="1" x14ac:dyDescent="0.3">
      <c r="A280" s="1">
        <v>491</v>
      </c>
      <c r="B280" s="1" t="s">
        <v>25</v>
      </c>
      <c r="C280" s="7" t="s">
        <v>1863</v>
      </c>
      <c r="D280" s="1"/>
      <c r="E280" s="1" t="s">
        <v>1184</v>
      </c>
      <c r="F280" s="1" t="s">
        <v>995</v>
      </c>
      <c r="G280" s="1">
        <v>2016</v>
      </c>
      <c r="H280" s="1" t="s">
        <v>1864</v>
      </c>
      <c r="I280" s="4" t="s">
        <v>1866</v>
      </c>
      <c r="J280" s="5" t="s">
        <v>1799</v>
      </c>
      <c r="K280" s="1" t="str">
        <f>CONCATENATE("051010001853","")</f>
        <v>051010001853</v>
      </c>
      <c r="L280" s="1" t="s">
        <v>31</v>
      </c>
      <c r="M280" s="1">
        <v>427.1</v>
      </c>
      <c r="N280" s="1" t="s">
        <v>1865</v>
      </c>
      <c r="O280" s="1">
        <v>2016</v>
      </c>
      <c r="P280" s="1"/>
      <c r="Q280" t="s">
        <v>51</v>
      </c>
      <c r="R280" t="s">
        <v>35</v>
      </c>
      <c r="T280">
        <v>215</v>
      </c>
      <c r="U280" t="s">
        <v>36</v>
      </c>
      <c r="W280" t="s">
        <v>1838</v>
      </c>
    </row>
    <row r="281" spans="1:23" ht="25.05" customHeight="1" x14ac:dyDescent="0.3">
      <c r="A281" s="1">
        <v>480</v>
      </c>
      <c r="B281" s="1" t="s">
        <v>25</v>
      </c>
      <c r="C281" s="7" t="s">
        <v>1810</v>
      </c>
      <c r="D281" s="1" t="s">
        <v>1811</v>
      </c>
      <c r="E281" s="1" t="s">
        <v>1812</v>
      </c>
      <c r="F281" s="1" t="s">
        <v>715</v>
      </c>
      <c r="G281" s="1">
        <v>2014</v>
      </c>
      <c r="H281" s="1" t="s">
        <v>1813</v>
      </c>
      <c r="I281" s="4" t="s">
        <v>1815</v>
      </c>
      <c r="J281" s="5" t="s">
        <v>1799</v>
      </c>
      <c r="K281" s="1" t="str">
        <f>CONCATENATE("051010000737","")</f>
        <v>051010000737</v>
      </c>
      <c r="L281" s="1" t="s">
        <v>31</v>
      </c>
      <c r="M281" s="1">
        <v>427.1</v>
      </c>
      <c r="N281" s="1" t="s">
        <v>1814</v>
      </c>
      <c r="O281" s="1">
        <v>2014</v>
      </c>
      <c r="P281" s="1"/>
      <c r="Q281" t="s">
        <v>51</v>
      </c>
      <c r="R281" t="s">
        <v>35</v>
      </c>
      <c r="T281">
        <v>288</v>
      </c>
      <c r="U281" t="s">
        <v>36</v>
      </c>
      <c r="W281" t="s">
        <v>1816</v>
      </c>
    </row>
    <row r="282" spans="1:23" ht="25.05" customHeight="1" x14ac:dyDescent="0.3">
      <c r="A282" s="1">
        <v>478</v>
      </c>
      <c r="B282" s="1" t="s">
        <v>25</v>
      </c>
      <c r="C282" s="7" t="s">
        <v>1800</v>
      </c>
      <c r="D282" s="1" t="s">
        <v>1801</v>
      </c>
      <c r="E282" s="1" t="s">
        <v>1184</v>
      </c>
      <c r="F282" s="1" t="s">
        <v>701</v>
      </c>
      <c r="G282" s="1">
        <v>2013</v>
      </c>
      <c r="H282" s="1"/>
      <c r="I282" s="4" t="s">
        <v>1803</v>
      </c>
      <c r="J282" s="5" t="s">
        <v>1799</v>
      </c>
      <c r="K282" s="1" t="str">
        <f>CONCATENATE("051010000036","")</f>
        <v>051010000036</v>
      </c>
      <c r="L282" s="1" t="s">
        <v>31</v>
      </c>
      <c r="M282" s="1">
        <v>427.11</v>
      </c>
      <c r="N282" s="1" t="s">
        <v>1802</v>
      </c>
      <c r="O282" s="1">
        <v>2013</v>
      </c>
      <c r="P282" s="1"/>
      <c r="Q282" t="s">
        <v>51</v>
      </c>
      <c r="R282" t="s">
        <v>35</v>
      </c>
      <c r="T282">
        <v>0</v>
      </c>
      <c r="U282" t="s">
        <v>36</v>
      </c>
    </row>
    <row r="283" spans="1:23" ht="25.05" customHeight="1" x14ac:dyDescent="0.3">
      <c r="A283" s="1">
        <v>495</v>
      </c>
      <c r="B283" s="1" t="s">
        <v>25</v>
      </c>
      <c r="C283" s="7" t="s">
        <v>1881</v>
      </c>
      <c r="D283" s="1" t="s">
        <v>1882</v>
      </c>
      <c r="E283" s="1" t="s">
        <v>1883</v>
      </c>
      <c r="F283" s="1" t="s">
        <v>1884</v>
      </c>
      <c r="G283" s="1">
        <v>2016</v>
      </c>
      <c r="H283" s="1" t="s">
        <v>1885</v>
      </c>
      <c r="I283" s="4" t="s">
        <v>1886</v>
      </c>
      <c r="J283" s="5" t="s">
        <v>1799</v>
      </c>
      <c r="K283" s="1" t="str">
        <f>CONCATENATE("051010001875","")</f>
        <v>051010001875</v>
      </c>
      <c r="L283" s="1" t="s">
        <v>31</v>
      </c>
      <c r="M283" s="1">
        <v>427.13099999999997</v>
      </c>
      <c r="N283" s="1" t="s">
        <v>771</v>
      </c>
      <c r="O283" s="1">
        <v>2016</v>
      </c>
      <c r="P283" s="1"/>
      <c r="Q283" t="s">
        <v>51</v>
      </c>
      <c r="R283" t="s">
        <v>35</v>
      </c>
      <c r="T283">
        <v>275</v>
      </c>
      <c r="U283" t="s">
        <v>36</v>
      </c>
      <c r="W283" t="s">
        <v>1838</v>
      </c>
    </row>
    <row r="284" spans="1:23" ht="25.05" customHeight="1" x14ac:dyDescent="0.3">
      <c r="A284" s="1">
        <v>515</v>
      </c>
      <c r="B284" s="1" t="s">
        <v>25</v>
      </c>
      <c r="C284" s="7" t="s">
        <v>1963</v>
      </c>
      <c r="D284" s="1" t="s">
        <v>1964</v>
      </c>
      <c r="E284" s="1" t="s">
        <v>1959</v>
      </c>
      <c r="F284" s="1" t="s">
        <v>1917</v>
      </c>
      <c r="G284" s="1">
        <v>2018</v>
      </c>
      <c r="H284" s="1" t="s">
        <v>1965</v>
      </c>
      <c r="I284" s="4" t="s">
        <v>1967</v>
      </c>
      <c r="J284" s="5" t="s">
        <v>1799</v>
      </c>
      <c r="K284" s="1" t="str">
        <f>CONCATENATE("051010002611","")</f>
        <v>051010002611</v>
      </c>
      <c r="L284" s="1" t="s">
        <v>31</v>
      </c>
      <c r="M284" s="1">
        <v>427.13099999999997</v>
      </c>
      <c r="N284" s="1" t="s">
        <v>1966</v>
      </c>
      <c r="O284" s="1">
        <v>2018</v>
      </c>
      <c r="P284" s="1"/>
      <c r="Q284" t="s">
        <v>274</v>
      </c>
      <c r="R284" t="s">
        <v>35</v>
      </c>
      <c r="T284">
        <v>400</v>
      </c>
      <c r="U284" t="s">
        <v>36</v>
      </c>
      <c r="W284" t="s">
        <v>1921</v>
      </c>
    </row>
    <row r="285" spans="1:23" ht="25.05" customHeight="1" x14ac:dyDescent="0.3">
      <c r="A285" s="1">
        <v>498</v>
      </c>
      <c r="B285" s="1" t="s">
        <v>25</v>
      </c>
      <c r="C285" s="7" t="s">
        <v>1894</v>
      </c>
      <c r="D285" s="1" t="s">
        <v>1895</v>
      </c>
      <c r="E285" s="1" t="s">
        <v>1276</v>
      </c>
      <c r="F285" s="1">
        <v>2017</v>
      </c>
      <c r="G285" s="1">
        <v>2017</v>
      </c>
      <c r="H285" s="1" t="s">
        <v>1896</v>
      </c>
      <c r="I285" s="4" t="s">
        <v>1898</v>
      </c>
      <c r="J285" s="5" t="s">
        <v>1799</v>
      </c>
      <c r="K285" s="1" t="str">
        <f>CONCATENATE("051010002185","")</f>
        <v>051010002185</v>
      </c>
      <c r="L285" s="1" t="s">
        <v>31</v>
      </c>
      <c r="M285" s="1">
        <v>427.13099999999997</v>
      </c>
      <c r="N285" s="1" t="s">
        <v>1897</v>
      </c>
      <c r="O285" s="1">
        <v>2017</v>
      </c>
      <c r="P285" s="1"/>
      <c r="Q285" t="s">
        <v>1899</v>
      </c>
      <c r="R285" t="s">
        <v>35</v>
      </c>
      <c r="T285">
        <v>360</v>
      </c>
      <c r="U285" t="s">
        <v>36</v>
      </c>
      <c r="W285" t="s">
        <v>1893</v>
      </c>
    </row>
    <row r="286" spans="1:23" ht="25.05" customHeight="1" x14ac:dyDescent="0.3">
      <c r="A286" s="1">
        <v>499</v>
      </c>
      <c r="B286" s="1" t="s">
        <v>25</v>
      </c>
      <c r="C286" s="7" t="s">
        <v>1900</v>
      </c>
      <c r="D286" s="1" t="s">
        <v>1901</v>
      </c>
      <c r="E286" s="1" t="s">
        <v>277</v>
      </c>
      <c r="F286" s="1">
        <v>2016</v>
      </c>
      <c r="G286" s="1">
        <v>2016</v>
      </c>
      <c r="H286" s="1" t="s">
        <v>1902</v>
      </c>
      <c r="I286" s="4" t="s">
        <v>1904</v>
      </c>
      <c r="J286" s="5" t="s">
        <v>1799</v>
      </c>
      <c r="K286" s="1" t="str">
        <f>CONCATENATE("051010002208","")</f>
        <v>051010002208</v>
      </c>
      <c r="L286" s="1" t="s">
        <v>31</v>
      </c>
      <c r="M286" s="1">
        <v>427.13200000000001</v>
      </c>
      <c r="N286" s="1" t="s">
        <v>1903</v>
      </c>
      <c r="O286" s="1">
        <v>2016</v>
      </c>
      <c r="P286" s="1"/>
      <c r="Q286" t="s">
        <v>51</v>
      </c>
      <c r="R286" t="s">
        <v>35</v>
      </c>
      <c r="T286">
        <v>360</v>
      </c>
      <c r="U286" t="s">
        <v>36</v>
      </c>
      <c r="W286" t="s">
        <v>1893</v>
      </c>
    </row>
    <row r="287" spans="1:23" ht="25.05" customHeight="1" x14ac:dyDescent="0.3">
      <c r="A287" s="1">
        <v>500</v>
      </c>
      <c r="B287" s="1" t="s">
        <v>25</v>
      </c>
      <c r="C287" s="7" t="s">
        <v>1905</v>
      </c>
      <c r="D287" s="1" t="s">
        <v>1901</v>
      </c>
      <c r="E287" s="1" t="s">
        <v>277</v>
      </c>
      <c r="F287" s="1">
        <v>2017</v>
      </c>
      <c r="G287" s="1">
        <v>2017</v>
      </c>
      <c r="H287" s="1" t="s">
        <v>1906</v>
      </c>
      <c r="I287" s="4" t="s">
        <v>1908</v>
      </c>
      <c r="J287" s="5" t="s">
        <v>1799</v>
      </c>
      <c r="K287" s="1" t="str">
        <f>CONCATENATE("051010002209","")</f>
        <v>051010002209</v>
      </c>
      <c r="L287" s="1" t="s">
        <v>31</v>
      </c>
      <c r="M287" s="1">
        <v>427.13200000000001</v>
      </c>
      <c r="N287" s="1" t="s">
        <v>1907</v>
      </c>
      <c r="O287" s="1">
        <v>2017</v>
      </c>
      <c r="P287" s="1"/>
      <c r="Q287" t="s">
        <v>51</v>
      </c>
      <c r="R287" t="s">
        <v>35</v>
      </c>
      <c r="T287">
        <v>360</v>
      </c>
      <c r="U287" t="s">
        <v>36</v>
      </c>
      <c r="W287" t="s">
        <v>1893</v>
      </c>
    </row>
    <row r="288" spans="1:23" ht="25.05" customHeight="1" x14ac:dyDescent="0.3">
      <c r="A288" s="1">
        <v>504</v>
      </c>
      <c r="B288" s="1" t="s">
        <v>25</v>
      </c>
      <c r="C288" s="7" t="s">
        <v>1922</v>
      </c>
      <c r="D288" s="1" t="s">
        <v>1923</v>
      </c>
      <c r="E288" s="1" t="s">
        <v>1924</v>
      </c>
      <c r="F288" s="1">
        <v>2018</v>
      </c>
      <c r="G288" s="1">
        <v>2018</v>
      </c>
      <c r="H288" s="1" t="s">
        <v>1925</v>
      </c>
      <c r="I288" s="4" t="s">
        <v>1926</v>
      </c>
      <c r="J288" s="5" t="s">
        <v>1799</v>
      </c>
      <c r="K288" s="1" t="str">
        <f>CONCATENATE("051010002414","")</f>
        <v>051010002414</v>
      </c>
      <c r="L288" s="1" t="s">
        <v>31</v>
      </c>
      <c r="M288" s="1">
        <v>427.13819999999998</v>
      </c>
      <c r="N288" s="1" t="s">
        <v>89</v>
      </c>
      <c r="O288" s="1">
        <v>2018</v>
      </c>
      <c r="P288" s="1"/>
      <c r="Q288" t="s">
        <v>51</v>
      </c>
      <c r="R288" t="s">
        <v>35</v>
      </c>
      <c r="T288">
        <v>250</v>
      </c>
      <c r="U288" t="s">
        <v>36</v>
      </c>
      <c r="W288" t="s">
        <v>1921</v>
      </c>
    </row>
    <row r="289" spans="1:23" ht="25.05" customHeight="1" x14ac:dyDescent="0.3">
      <c r="A289" s="1">
        <v>496</v>
      </c>
      <c r="B289" s="1" t="s">
        <v>25</v>
      </c>
      <c r="C289" s="7" t="s">
        <v>1887</v>
      </c>
      <c r="D289" s="1" t="s">
        <v>1888</v>
      </c>
      <c r="E289" s="1" t="s">
        <v>1889</v>
      </c>
      <c r="F289" s="1">
        <v>2017</v>
      </c>
      <c r="G289" s="1">
        <v>2017</v>
      </c>
      <c r="H289" s="1" t="s">
        <v>1890</v>
      </c>
      <c r="I289" s="4" t="s">
        <v>1892</v>
      </c>
      <c r="J289" s="5" t="s">
        <v>1799</v>
      </c>
      <c r="K289" s="1" t="str">
        <f>CONCATENATE("051010002165","")</f>
        <v>051010002165</v>
      </c>
      <c r="L289" s="1" t="s">
        <v>31</v>
      </c>
      <c r="M289" s="1">
        <v>427.13819999999998</v>
      </c>
      <c r="N289" s="1" t="s">
        <v>1891</v>
      </c>
      <c r="O289" s="1">
        <v>2017</v>
      </c>
      <c r="P289" s="1"/>
      <c r="Q289" t="s">
        <v>51</v>
      </c>
      <c r="R289" t="s">
        <v>35</v>
      </c>
      <c r="T289">
        <v>405</v>
      </c>
      <c r="U289" t="s">
        <v>36</v>
      </c>
      <c r="W289" t="s">
        <v>1893</v>
      </c>
    </row>
    <row r="290" spans="1:23" ht="25.05" customHeight="1" x14ac:dyDescent="0.3">
      <c r="A290" s="1">
        <v>494</v>
      </c>
      <c r="B290" s="1" t="s">
        <v>25</v>
      </c>
      <c r="C290" s="7" t="s">
        <v>1876</v>
      </c>
      <c r="D290" s="1" t="s">
        <v>1877</v>
      </c>
      <c r="E290" s="1" t="s">
        <v>1847</v>
      </c>
      <c r="F290" s="1" t="s">
        <v>1848</v>
      </c>
      <c r="G290" s="1">
        <v>2016</v>
      </c>
      <c r="H290" s="1" t="s">
        <v>1878</v>
      </c>
      <c r="I290" s="4" t="s">
        <v>1880</v>
      </c>
      <c r="J290" s="5" t="s">
        <v>1799</v>
      </c>
      <c r="K290" s="1" t="str">
        <f>CONCATENATE("051010001859","")</f>
        <v>051010001859</v>
      </c>
      <c r="L290" s="1" t="s">
        <v>31</v>
      </c>
      <c r="M290" s="1">
        <v>427.16</v>
      </c>
      <c r="N290" s="1" t="s">
        <v>1879</v>
      </c>
      <c r="O290" s="1">
        <v>2016</v>
      </c>
      <c r="P290" s="1"/>
      <c r="Q290" t="s">
        <v>51</v>
      </c>
      <c r="R290" t="s">
        <v>35</v>
      </c>
      <c r="T290">
        <v>300</v>
      </c>
      <c r="U290" t="s">
        <v>36</v>
      </c>
      <c r="W290" t="s">
        <v>1838</v>
      </c>
    </row>
    <row r="291" spans="1:23" ht="25.05" customHeight="1" x14ac:dyDescent="0.3">
      <c r="A291" s="1">
        <v>490</v>
      </c>
      <c r="B291" s="1" t="s">
        <v>25</v>
      </c>
      <c r="C291" s="7" t="s">
        <v>1857</v>
      </c>
      <c r="D291" s="1" t="s">
        <v>1858</v>
      </c>
      <c r="E291" s="1" t="s">
        <v>1859</v>
      </c>
      <c r="F291" s="1" t="s">
        <v>995</v>
      </c>
      <c r="G291" s="1">
        <v>2016</v>
      </c>
      <c r="H291" s="1" t="s">
        <v>1860</v>
      </c>
      <c r="I291" s="4" t="s">
        <v>1862</v>
      </c>
      <c r="J291" s="5" t="s">
        <v>1799</v>
      </c>
      <c r="K291" s="1" t="str">
        <f>CONCATENATE("051010001852","")</f>
        <v>051010001852</v>
      </c>
      <c r="L291" s="1" t="s">
        <v>31</v>
      </c>
      <c r="M291" s="1">
        <v>427.2</v>
      </c>
      <c r="N291" s="1" t="s">
        <v>1861</v>
      </c>
      <c r="O291" s="1">
        <v>2016</v>
      </c>
      <c r="P291" s="1"/>
      <c r="Q291" t="s">
        <v>51</v>
      </c>
      <c r="R291" t="s">
        <v>35</v>
      </c>
      <c r="T291">
        <v>340</v>
      </c>
      <c r="U291" t="s">
        <v>36</v>
      </c>
      <c r="W291" t="s">
        <v>1838</v>
      </c>
    </row>
    <row r="292" spans="1:23" ht="25.05" customHeight="1" x14ac:dyDescent="0.3">
      <c r="A292" s="1">
        <v>503</v>
      </c>
      <c r="B292" s="1" t="s">
        <v>25</v>
      </c>
      <c r="C292" s="7" t="s">
        <v>1914</v>
      </c>
      <c r="D292" s="1" t="s">
        <v>1915</v>
      </c>
      <c r="E292" s="1" t="s">
        <v>1916</v>
      </c>
      <c r="F292" s="1" t="s">
        <v>1917</v>
      </c>
      <c r="G292" s="1">
        <v>2018</v>
      </c>
      <c r="H292" s="1" t="s">
        <v>1918</v>
      </c>
      <c r="I292" s="4" t="s">
        <v>1920</v>
      </c>
      <c r="J292" s="5" t="s">
        <v>1799</v>
      </c>
      <c r="K292" s="1" t="str">
        <f>CONCATENATE("051010002353","")</f>
        <v>051010002353</v>
      </c>
      <c r="L292" s="1" t="s">
        <v>31</v>
      </c>
      <c r="M292" s="1">
        <v>427.2</v>
      </c>
      <c r="N292" s="1" t="s">
        <v>1919</v>
      </c>
      <c r="O292" s="1">
        <v>2018</v>
      </c>
      <c r="P292" s="1"/>
      <c r="Q292" t="s">
        <v>51</v>
      </c>
      <c r="R292" t="s">
        <v>35</v>
      </c>
      <c r="T292">
        <v>790</v>
      </c>
      <c r="U292" t="s">
        <v>36</v>
      </c>
      <c r="W292" t="s">
        <v>1921</v>
      </c>
    </row>
    <row r="293" spans="1:23" ht="25.05" customHeight="1" x14ac:dyDescent="0.3">
      <c r="A293" s="1">
        <v>516</v>
      </c>
      <c r="B293" s="1" t="s">
        <v>25</v>
      </c>
      <c r="C293" s="7" t="s">
        <v>1968</v>
      </c>
      <c r="D293" s="1" t="s">
        <v>1969</v>
      </c>
      <c r="E293" s="1" t="s">
        <v>1970</v>
      </c>
      <c r="F293" s="1" t="s">
        <v>1971</v>
      </c>
      <c r="G293" s="1">
        <v>2018</v>
      </c>
      <c r="H293" s="1"/>
      <c r="I293" s="4" t="s">
        <v>1972</v>
      </c>
      <c r="J293" s="5" t="s">
        <v>1799</v>
      </c>
      <c r="K293" s="1" t="str">
        <f>CONCATENATE("051010002697","")</f>
        <v>051010002697</v>
      </c>
      <c r="L293" s="1" t="s">
        <v>31</v>
      </c>
      <c r="M293" s="1">
        <v>427.2</v>
      </c>
      <c r="N293" s="1" t="s">
        <v>757</v>
      </c>
      <c r="O293" s="1">
        <v>2018</v>
      </c>
      <c r="P293" s="1"/>
      <c r="Q293" t="s">
        <v>51</v>
      </c>
      <c r="R293" t="s">
        <v>35</v>
      </c>
      <c r="T293">
        <v>180</v>
      </c>
      <c r="U293" t="s">
        <v>36</v>
      </c>
      <c r="W293" t="s">
        <v>1933</v>
      </c>
    </row>
    <row r="294" spans="1:23" ht="25.05" customHeight="1" x14ac:dyDescent="0.3">
      <c r="A294" s="1">
        <v>514</v>
      </c>
      <c r="B294" s="1" t="s">
        <v>25</v>
      </c>
      <c r="C294" s="7" t="s">
        <v>1957</v>
      </c>
      <c r="D294" s="1" t="s">
        <v>1958</v>
      </c>
      <c r="E294" s="1" t="s">
        <v>1959</v>
      </c>
      <c r="F294" s="1" t="s">
        <v>1917</v>
      </c>
      <c r="G294" s="1">
        <v>2018</v>
      </c>
      <c r="H294" s="1" t="s">
        <v>1960</v>
      </c>
      <c r="I294" s="4" t="s">
        <v>1962</v>
      </c>
      <c r="J294" s="5" t="s">
        <v>1799</v>
      </c>
      <c r="K294" s="1" t="str">
        <f>CONCATENATE("051010002594","")</f>
        <v>051010002594</v>
      </c>
      <c r="L294" s="1" t="s">
        <v>31</v>
      </c>
      <c r="M294" s="1">
        <v>427.221</v>
      </c>
      <c r="N294" s="1" t="s">
        <v>1961</v>
      </c>
      <c r="O294" s="1">
        <v>2018</v>
      </c>
      <c r="P294" s="1"/>
      <c r="Q294" t="s">
        <v>51</v>
      </c>
      <c r="R294" t="s">
        <v>35</v>
      </c>
      <c r="T294">
        <v>340</v>
      </c>
      <c r="U294" t="s">
        <v>36</v>
      </c>
      <c r="W294" t="s">
        <v>1921</v>
      </c>
    </row>
    <row r="295" spans="1:23" ht="25.05" customHeight="1" x14ac:dyDescent="0.3">
      <c r="A295" s="1">
        <v>505</v>
      </c>
      <c r="B295" s="1" t="s">
        <v>25</v>
      </c>
      <c r="C295" s="7" t="s">
        <v>1927</v>
      </c>
      <c r="D295" s="1" t="s">
        <v>1928</v>
      </c>
      <c r="E295" s="1" t="s">
        <v>1929</v>
      </c>
      <c r="F295" s="1" t="s">
        <v>1917</v>
      </c>
      <c r="G295" s="1">
        <v>2018</v>
      </c>
      <c r="H295" s="1" t="s">
        <v>1930</v>
      </c>
      <c r="I295" s="4" t="s">
        <v>1932</v>
      </c>
      <c r="J295" s="5" t="s">
        <v>1799</v>
      </c>
      <c r="K295" s="1" t="str">
        <f>CONCATENATE("051010002460","")</f>
        <v>051010002460</v>
      </c>
      <c r="L295" s="1" t="s">
        <v>31</v>
      </c>
      <c r="M295" s="1">
        <v>427.25</v>
      </c>
      <c r="N295" s="1" t="s">
        <v>1931</v>
      </c>
      <c r="O295" s="1">
        <v>2018</v>
      </c>
      <c r="P295" s="1"/>
      <c r="Q295" t="s">
        <v>51</v>
      </c>
      <c r="R295" t="s">
        <v>35</v>
      </c>
      <c r="T295">
        <v>375</v>
      </c>
      <c r="U295" t="s">
        <v>36</v>
      </c>
      <c r="W295" t="s">
        <v>1933</v>
      </c>
    </row>
    <row r="296" spans="1:23" ht="25.05" customHeight="1" x14ac:dyDescent="0.3">
      <c r="A296" s="1">
        <v>508</v>
      </c>
      <c r="B296" s="1" t="s">
        <v>25</v>
      </c>
      <c r="C296" s="7" t="s">
        <v>1943</v>
      </c>
      <c r="D296" s="1" t="s">
        <v>250</v>
      </c>
      <c r="E296" s="1" t="s">
        <v>1944</v>
      </c>
      <c r="F296" s="1" t="s">
        <v>1917</v>
      </c>
      <c r="G296" s="1">
        <v>2018</v>
      </c>
      <c r="H296" s="1" t="s">
        <v>1945</v>
      </c>
      <c r="I296" s="4" t="s">
        <v>1946</v>
      </c>
      <c r="J296" s="5" t="s">
        <v>1799</v>
      </c>
      <c r="K296" s="1" t="str">
        <f>CONCATENATE("051010002556","")</f>
        <v>051010002556</v>
      </c>
      <c r="L296" s="1" t="s">
        <v>31</v>
      </c>
      <c r="M296" s="1">
        <v>427.38</v>
      </c>
      <c r="N296" s="1" t="s">
        <v>220</v>
      </c>
      <c r="O296" s="1">
        <v>2018</v>
      </c>
      <c r="P296" s="1"/>
      <c r="Q296" t="s">
        <v>51</v>
      </c>
      <c r="R296" t="s">
        <v>35</v>
      </c>
      <c r="T296">
        <v>340</v>
      </c>
      <c r="U296" t="s">
        <v>36</v>
      </c>
      <c r="W296" t="s">
        <v>1921</v>
      </c>
    </row>
    <row r="297" spans="1:23" ht="25.05" customHeight="1" x14ac:dyDescent="0.3">
      <c r="A297" s="1">
        <v>489</v>
      </c>
      <c r="B297" s="1" t="s">
        <v>25</v>
      </c>
      <c r="C297" s="7" t="s">
        <v>1852</v>
      </c>
      <c r="D297" s="1" t="s">
        <v>1853</v>
      </c>
      <c r="E297" s="1" t="s">
        <v>1854</v>
      </c>
      <c r="F297" s="1" t="s">
        <v>995</v>
      </c>
      <c r="G297" s="1">
        <v>2016</v>
      </c>
      <c r="H297" s="1" t="s">
        <v>1855</v>
      </c>
      <c r="I297" s="4" t="s">
        <v>1856</v>
      </c>
      <c r="J297" s="5" t="s">
        <v>1799</v>
      </c>
      <c r="K297" s="1" t="str">
        <f>CONCATENATE("051010001851","")</f>
        <v>051010001851</v>
      </c>
      <c r="L297" s="1" t="s">
        <v>31</v>
      </c>
      <c r="M297" s="1">
        <v>427.61</v>
      </c>
      <c r="N297" s="1" t="s">
        <v>363</v>
      </c>
      <c r="O297" s="1">
        <v>2016</v>
      </c>
      <c r="P297" s="1"/>
      <c r="Q297" t="s">
        <v>51</v>
      </c>
      <c r="R297" t="s">
        <v>35</v>
      </c>
      <c r="T297">
        <v>300</v>
      </c>
      <c r="U297" t="s">
        <v>36</v>
      </c>
      <c r="W297" t="s">
        <v>1838</v>
      </c>
    </row>
    <row r="298" spans="1:23" ht="25.05" customHeight="1" x14ac:dyDescent="0.3">
      <c r="A298" s="1">
        <v>507</v>
      </c>
      <c r="B298" s="1" t="s">
        <v>25</v>
      </c>
      <c r="C298" s="7" t="s">
        <v>1940</v>
      </c>
      <c r="D298" s="1" t="s">
        <v>993</v>
      </c>
      <c r="E298" s="1" t="s">
        <v>1328</v>
      </c>
      <c r="F298" s="1" t="s">
        <v>1917</v>
      </c>
      <c r="G298" s="1">
        <v>2018</v>
      </c>
      <c r="H298" s="1" t="s">
        <v>1941</v>
      </c>
      <c r="I298" s="4" t="s">
        <v>1942</v>
      </c>
      <c r="J298" s="5" t="s">
        <v>1799</v>
      </c>
      <c r="K298" s="1" t="str">
        <f>CONCATENATE("051010002545","")</f>
        <v>051010002545</v>
      </c>
      <c r="L298" s="1" t="s">
        <v>31</v>
      </c>
      <c r="M298" s="1">
        <v>427.75</v>
      </c>
      <c r="N298" s="1" t="s">
        <v>1097</v>
      </c>
      <c r="O298" s="1">
        <v>2018</v>
      </c>
      <c r="P298" s="1"/>
      <c r="Q298" t="s">
        <v>51</v>
      </c>
      <c r="R298" t="s">
        <v>35</v>
      </c>
      <c r="T298">
        <v>260</v>
      </c>
      <c r="U298" t="s">
        <v>36</v>
      </c>
      <c r="W298" t="s">
        <v>1921</v>
      </c>
    </row>
    <row r="299" spans="1:23" ht="25.05" customHeight="1" x14ac:dyDescent="0.3">
      <c r="A299" s="1">
        <v>485</v>
      </c>
      <c r="B299" s="1" t="s">
        <v>25</v>
      </c>
      <c r="C299" s="7" t="s">
        <v>1833</v>
      </c>
      <c r="D299" s="1" t="s">
        <v>1834</v>
      </c>
      <c r="E299" s="1" t="s">
        <v>564</v>
      </c>
      <c r="F299" s="1" t="s">
        <v>995</v>
      </c>
      <c r="G299" s="1">
        <v>2016</v>
      </c>
      <c r="H299" s="1" t="s">
        <v>1835</v>
      </c>
      <c r="I299" s="4" t="s">
        <v>1837</v>
      </c>
      <c r="J299" s="5" t="s">
        <v>1799</v>
      </c>
      <c r="K299" s="1" t="str">
        <f>CONCATENATE("051010001826","")</f>
        <v>051010001826</v>
      </c>
      <c r="L299" s="1" t="s">
        <v>31</v>
      </c>
      <c r="M299" s="1">
        <v>427.75</v>
      </c>
      <c r="N299" s="1" t="s">
        <v>1836</v>
      </c>
      <c r="O299" s="1">
        <v>2016</v>
      </c>
      <c r="P299" s="1"/>
      <c r="Q299" t="s">
        <v>51</v>
      </c>
      <c r="R299" t="s">
        <v>35</v>
      </c>
      <c r="T299">
        <v>315</v>
      </c>
      <c r="U299" t="s">
        <v>36</v>
      </c>
      <c r="W299" t="s">
        <v>1838</v>
      </c>
    </row>
    <row r="300" spans="1:23" ht="25.05" customHeight="1" x14ac:dyDescent="0.3">
      <c r="A300" s="1">
        <v>487</v>
      </c>
      <c r="B300" s="1" t="s">
        <v>25</v>
      </c>
      <c r="C300" s="7" t="s">
        <v>1839</v>
      </c>
      <c r="D300" s="1" t="s">
        <v>1840</v>
      </c>
      <c r="E300" s="1" t="s">
        <v>1841</v>
      </c>
      <c r="F300" s="1" t="s">
        <v>995</v>
      </c>
      <c r="G300" s="1">
        <v>2016</v>
      </c>
      <c r="H300" s="1" t="s">
        <v>1842</v>
      </c>
      <c r="I300" s="4" t="s">
        <v>1844</v>
      </c>
      <c r="J300" s="5" t="s">
        <v>1799</v>
      </c>
      <c r="K300" s="1" t="str">
        <f>CONCATENATE("051010001843","")</f>
        <v>051010001843</v>
      </c>
      <c r="L300" s="1" t="s">
        <v>31</v>
      </c>
      <c r="M300" s="1">
        <v>428.3</v>
      </c>
      <c r="N300" s="1" t="s">
        <v>1843</v>
      </c>
      <c r="O300" s="1">
        <v>2016</v>
      </c>
      <c r="P300" s="1"/>
      <c r="Q300" t="s">
        <v>51</v>
      </c>
      <c r="R300" t="s">
        <v>35</v>
      </c>
      <c r="T300">
        <v>215</v>
      </c>
      <c r="U300" t="s">
        <v>36</v>
      </c>
      <c r="W300" t="s">
        <v>1838</v>
      </c>
    </row>
    <row r="301" spans="1:23" ht="25.05" customHeight="1" x14ac:dyDescent="0.3">
      <c r="A301" s="1">
        <v>493</v>
      </c>
      <c r="B301" s="1" t="s">
        <v>25</v>
      </c>
      <c r="C301" s="7" t="s">
        <v>1871</v>
      </c>
      <c r="D301" s="1" t="s">
        <v>1872</v>
      </c>
      <c r="E301" s="1" t="s">
        <v>232</v>
      </c>
      <c r="F301" s="1" t="s">
        <v>1848</v>
      </c>
      <c r="G301" s="1">
        <v>2016</v>
      </c>
      <c r="H301" s="1" t="s">
        <v>1873</v>
      </c>
      <c r="I301" s="4" t="s">
        <v>1875</v>
      </c>
      <c r="J301" s="5" t="s">
        <v>1799</v>
      </c>
      <c r="K301" s="1" t="str">
        <f>CONCATENATE("051010001858","")</f>
        <v>051010001858</v>
      </c>
      <c r="L301" s="1" t="s">
        <v>31</v>
      </c>
      <c r="M301" s="1">
        <v>428.3</v>
      </c>
      <c r="N301" s="1" t="s">
        <v>1874</v>
      </c>
      <c r="O301" s="1">
        <v>2016</v>
      </c>
      <c r="P301" s="1"/>
      <c r="Q301" t="s">
        <v>51</v>
      </c>
      <c r="R301" t="s">
        <v>35</v>
      </c>
      <c r="T301">
        <v>270</v>
      </c>
      <c r="U301" t="s">
        <v>36</v>
      </c>
      <c r="W301" t="s">
        <v>1838</v>
      </c>
    </row>
    <row r="302" spans="1:23" ht="25.05" customHeight="1" x14ac:dyDescent="0.3">
      <c r="A302" s="1">
        <v>509</v>
      </c>
      <c r="B302" s="1" t="s">
        <v>25</v>
      </c>
      <c r="C302" s="7" t="s">
        <v>1947</v>
      </c>
      <c r="D302" s="1" t="s">
        <v>1948</v>
      </c>
      <c r="E302" s="1" t="s">
        <v>1294</v>
      </c>
      <c r="F302" s="1" t="s">
        <v>1917</v>
      </c>
      <c r="G302" s="1">
        <v>2018</v>
      </c>
      <c r="H302" s="1" t="s">
        <v>1949</v>
      </c>
      <c r="I302" s="4" t="s">
        <v>1951</v>
      </c>
      <c r="J302" s="5" t="s">
        <v>1799</v>
      </c>
      <c r="K302" s="1" t="str">
        <f>CONCATENATE("051010002570","")</f>
        <v>051010002570</v>
      </c>
      <c r="L302" s="1" t="s">
        <v>31</v>
      </c>
      <c r="M302" s="1">
        <v>538.78330000000005</v>
      </c>
      <c r="N302" s="1" t="s">
        <v>1950</v>
      </c>
      <c r="O302" s="1">
        <v>2018</v>
      </c>
      <c r="P302" s="1"/>
      <c r="Q302" t="s">
        <v>51</v>
      </c>
      <c r="R302" t="s">
        <v>35</v>
      </c>
      <c r="T302">
        <v>585</v>
      </c>
      <c r="U302" t="s">
        <v>36</v>
      </c>
      <c r="W302" t="s">
        <v>1933</v>
      </c>
    </row>
    <row r="303" spans="1:23" ht="25.05" customHeight="1" x14ac:dyDescent="0.3">
      <c r="A303" s="1">
        <v>393</v>
      </c>
      <c r="B303" s="1" t="s">
        <v>25</v>
      </c>
      <c r="C303" s="7" t="s">
        <v>1672</v>
      </c>
      <c r="D303" s="1" t="s">
        <v>1673</v>
      </c>
      <c r="E303" s="1" t="s">
        <v>1674</v>
      </c>
      <c r="F303" s="1" t="s">
        <v>701</v>
      </c>
      <c r="G303" s="1">
        <v>2013</v>
      </c>
      <c r="H303" s="1" t="s">
        <v>1675</v>
      </c>
      <c r="I303" s="4" t="s">
        <v>1677</v>
      </c>
      <c r="J303" s="5" t="s">
        <v>1460</v>
      </c>
      <c r="K303" s="1" t="str">
        <f>CONCATENATE("021010049138","")</f>
        <v>021010049138</v>
      </c>
      <c r="L303" s="1" t="s">
        <v>31</v>
      </c>
      <c r="M303" s="1">
        <v>247.61</v>
      </c>
      <c r="N303" s="1" t="s">
        <v>1676</v>
      </c>
      <c r="O303" s="1">
        <v>2013</v>
      </c>
      <c r="P303" s="1"/>
      <c r="Q303" t="s">
        <v>51</v>
      </c>
      <c r="R303" t="s">
        <v>35</v>
      </c>
      <c r="T303">
        <v>234</v>
      </c>
      <c r="U303" t="s">
        <v>36</v>
      </c>
      <c r="W303" t="s">
        <v>1641</v>
      </c>
    </row>
    <row r="304" spans="1:23" ht="25.05" customHeight="1" x14ac:dyDescent="0.3">
      <c r="A304" s="1">
        <v>338</v>
      </c>
      <c r="B304" s="1" t="s">
        <v>25</v>
      </c>
      <c r="C304" s="7" t="s">
        <v>1520</v>
      </c>
      <c r="D304" s="1" t="s">
        <v>1521</v>
      </c>
      <c r="E304" s="1" t="s">
        <v>41</v>
      </c>
      <c r="F304" s="1" t="s">
        <v>1522</v>
      </c>
      <c r="G304" s="1">
        <v>2012</v>
      </c>
      <c r="H304" s="1" t="s">
        <v>1523</v>
      </c>
      <c r="I304" s="4" t="s">
        <v>1525</v>
      </c>
      <c r="J304" s="5" t="s">
        <v>1460</v>
      </c>
      <c r="K304" s="1" t="str">
        <f>CONCATENATE("021010042116","")</f>
        <v>021010042116</v>
      </c>
      <c r="L304" s="1" t="s">
        <v>31</v>
      </c>
      <c r="M304" s="1">
        <v>303.39999999999998</v>
      </c>
      <c r="N304" s="1" t="s">
        <v>1524</v>
      </c>
      <c r="O304" s="1">
        <v>2012</v>
      </c>
      <c r="P304" s="1" t="s">
        <v>1169</v>
      </c>
      <c r="Q304" t="s">
        <v>51</v>
      </c>
      <c r="R304" t="s">
        <v>35</v>
      </c>
      <c r="T304">
        <v>203</v>
      </c>
      <c r="U304" t="s">
        <v>36</v>
      </c>
      <c r="W304" t="s">
        <v>1519</v>
      </c>
    </row>
    <row r="305" spans="1:23" ht="25.05" customHeight="1" x14ac:dyDescent="0.3">
      <c r="A305" s="1">
        <v>337</v>
      </c>
      <c r="B305" s="1" t="s">
        <v>25</v>
      </c>
      <c r="C305" s="7" t="s">
        <v>1514</v>
      </c>
      <c r="D305" s="1" t="s">
        <v>1515</v>
      </c>
      <c r="E305" s="1" t="s">
        <v>41</v>
      </c>
      <c r="F305" s="1">
        <v>2012</v>
      </c>
      <c r="G305" s="1">
        <v>2012</v>
      </c>
      <c r="H305" s="1" t="s">
        <v>1516</v>
      </c>
      <c r="I305" s="4" t="s">
        <v>1518</v>
      </c>
      <c r="J305" s="5" t="s">
        <v>1460</v>
      </c>
      <c r="K305" s="1" t="str">
        <f>CONCATENATE("021010042115","")</f>
        <v>021010042115</v>
      </c>
      <c r="L305" s="1" t="s">
        <v>31</v>
      </c>
      <c r="M305" s="1">
        <v>307.89999999999998</v>
      </c>
      <c r="N305" s="1" t="s">
        <v>1517</v>
      </c>
      <c r="O305" s="1">
        <v>2012</v>
      </c>
      <c r="P305" s="1" t="s">
        <v>1170</v>
      </c>
      <c r="Q305" t="s">
        <v>51</v>
      </c>
      <c r="R305" t="s">
        <v>35</v>
      </c>
      <c r="T305">
        <v>203</v>
      </c>
      <c r="U305" t="s">
        <v>36</v>
      </c>
      <c r="W305" t="s">
        <v>1519</v>
      </c>
    </row>
    <row r="306" spans="1:23" ht="25.05" customHeight="1" x14ac:dyDescent="0.3">
      <c r="A306" s="1">
        <v>64</v>
      </c>
      <c r="B306" s="1" t="s">
        <v>25</v>
      </c>
      <c r="C306" s="7" t="s">
        <v>2095</v>
      </c>
      <c r="D306" s="1" t="s">
        <v>2096</v>
      </c>
      <c r="E306" s="1" t="s">
        <v>2097</v>
      </c>
      <c r="F306" s="1" t="s">
        <v>678</v>
      </c>
      <c r="G306" s="1">
        <v>2012</v>
      </c>
      <c r="H306" s="1" t="s">
        <v>2098</v>
      </c>
      <c r="I306" s="4" t="s">
        <v>2100</v>
      </c>
      <c r="J306" s="5" t="s">
        <v>1460</v>
      </c>
      <c r="K306" s="1" t="str">
        <f>CONCATENATE("021010047953","")</f>
        <v>021010047953</v>
      </c>
      <c r="L306" s="1" t="s">
        <v>31</v>
      </c>
      <c r="M306" s="1">
        <v>411.3</v>
      </c>
      <c r="N306" s="1" t="s">
        <v>2099</v>
      </c>
      <c r="O306" s="1">
        <v>2012</v>
      </c>
      <c r="P306" s="1"/>
      <c r="Q306" t="s">
        <v>51</v>
      </c>
      <c r="R306" t="s">
        <v>35</v>
      </c>
      <c r="T306">
        <v>182</v>
      </c>
      <c r="U306" t="s">
        <v>36</v>
      </c>
      <c r="W306" t="s">
        <v>1605</v>
      </c>
    </row>
    <row r="307" spans="1:23" ht="25.05" customHeight="1" x14ac:dyDescent="0.3">
      <c r="A307" s="1">
        <v>274</v>
      </c>
      <c r="B307" s="1" t="s">
        <v>25</v>
      </c>
      <c r="C307" s="7" t="s">
        <v>1463</v>
      </c>
      <c r="D307" s="1" t="s">
        <v>1464</v>
      </c>
      <c r="E307" s="1" t="s">
        <v>1465</v>
      </c>
      <c r="F307" s="1" t="s">
        <v>118</v>
      </c>
      <c r="G307" s="1">
        <v>1998</v>
      </c>
      <c r="H307" s="1" t="s">
        <v>1466</v>
      </c>
      <c r="I307" s="4" t="s">
        <v>1468</v>
      </c>
      <c r="J307" s="5" t="s">
        <v>1460</v>
      </c>
      <c r="K307" s="1" t="str">
        <f>CONCATENATE("021010017278","")</f>
        <v>021010017278</v>
      </c>
      <c r="L307" s="1" t="s">
        <v>31</v>
      </c>
      <c r="M307" s="1">
        <v>416.25200000000001</v>
      </c>
      <c r="N307" s="1" t="s">
        <v>1467</v>
      </c>
      <c r="O307" s="1"/>
      <c r="P307" s="1"/>
      <c r="Q307" t="s">
        <v>51</v>
      </c>
      <c r="R307" t="s">
        <v>35</v>
      </c>
      <c r="T307">
        <v>240</v>
      </c>
      <c r="U307" t="s">
        <v>36</v>
      </c>
    </row>
    <row r="308" spans="1:23" ht="25.05" customHeight="1" x14ac:dyDescent="0.3">
      <c r="A308" s="1">
        <v>273</v>
      </c>
      <c r="B308" s="1" t="s">
        <v>25</v>
      </c>
      <c r="C308" s="7" t="s">
        <v>1456</v>
      </c>
      <c r="D308" s="1" t="s">
        <v>1457</v>
      </c>
      <c r="E308" s="1" t="s">
        <v>1210</v>
      </c>
      <c r="F308" s="1" t="s">
        <v>1458</v>
      </c>
      <c r="G308" s="1">
        <v>1993</v>
      </c>
      <c r="H308" s="1" t="s">
        <v>1459</v>
      </c>
      <c r="I308" s="4" t="s">
        <v>1462</v>
      </c>
      <c r="J308" s="5" t="s">
        <v>1460</v>
      </c>
      <c r="K308" s="1" t="str">
        <f>CONCATENATE("021010010857","")</f>
        <v>021010010857</v>
      </c>
      <c r="L308" s="1" t="s">
        <v>31</v>
      </c>
      <c r="M308" s="1">
        <v>418.91</v>
      </c>
      <c r="N308" s="1" t="s">
        <v>1461</v>
      </c>
      <c r="O308" s="1"/>
      <c r="P308" s="1"/>
      <c r="Q308" t="s">
        <v>51</v>
      </c>
      <c r="R308" t="s">
        <v>35</v>
      </c>
      <c r="T308">
        <v>0</v>
      </c>
      <c r="U308" t="s">
        <v>36</v>
      </c>
    </row>
    <row r="309" spans="1:23" ht="25.05" customHeight="1" x14ac:dyDescent="0.3">
      <c r="A309" s="1">
        <v>339</v>
      </c>
      <c r="B309" s="1" t="s">
        <v>25</v>
      </c>
      <c r="C309" s="7" t="s">
        <v>1526</v>
      </c>
      <c r="D309" s="1" t="s">
        <v>1527</v>
      </c>
      <c r="E309" s="1" t="s">
        <v>1528</v>
      </c>
      <c r="F309" s="1" t="s">
        <v>678</v>
      </c>
      <c r="G309" s="1">
        <v>2012</v>
      </c>
      <c r="H309" s="1" t="s">
        <v>1529</v>
      </c>
      <c r="I309" s="4" t="s">
        <v>1531</v>
      </c>
      <c r="J309" s="5" t="s">
        <v>1460</v>
      </c>
      <c r="K309" s="1" t="str">
        <f>CONCATENATE("021010042187","")</f>
        <v>021010042187</v>
      </c>
      <c r="L309" s="1" t="s">
        <v>31</v>
      </c>
      <c r="M309" s="1">
        <v>427</v>
      </c>
      <c r="N309" s="1" t="s">
        <v>1530</v>
      </c>
      <c r="O309" s="1">
        <v>2012</v>
      </c>
      <c r="P309" s="1"/>
      <c r="Q309" t="s">
        <v>51</v>
      </c>
      <c r="R309" t="s">
        <v>35</v>
      </c>
      <c r="T309">
        <v>399</v>
      </c>
      <c r="U309" t="s">
        <v>36</v>
      </c>
      <c r="W309" t="s">
        <v>1519</v>
      </c>
    </row>
    <row r="310" spans="1:23" ht="25.05" customHeight="1" x14ac:dyDescent="0.3">
      <c r="A310" s="1">
        <v>396</v>
      </c>
      <c r="B310" s="1" t="s">
        <v>25</v>
      </c>
      <c r="C310" s="7" t="s">
        <v>1684</v>
      </c>
      <c r="D310" s="1" t="s">
        <v>1685</v>
      </c>
      <c r="E310" s="1" t="s">
        <v>81</v>
      </c>
      <c r="F310" s="1" t="s">
        <v>701</v>
      </c>
      <c r="G310" s="1">
        <v>2013</v>
      </c>
      <c r="H310" s="1" t="s">
        <v>1686</v>
      </c>
      <c r="I310" s="4" t="s">
        <v>1688</v>
      </c>
      <c r="J310" s="5" t="s">
        <v>1460</v>
      </c>
      <c r="K310" s="1" t="str">
        <f>CONCATENATE("021010049364","")</f>
        <v>021010049364</v>
      </c>
      <c r="L310" s="1" t="s">
        <v>31</v>
      </c>
      <c r="M310" s="1">
        <v>427.07</v>
      </c>
      <c r="N310" s="1" t="s">
        <v>1687</v>
      </c>
      <c r="O310" s="1">
        <v>2013</v>
      </c>
      <c r="P310" s="1"/>
      <c r="Q310" t="s">
        <v>51</v>
      </c>
      <c r="R310" t="s">
        <v>35</v>
      </c>
      <c r="T310">
        <v>263</v>
      </c>
      <c r="U310" t="s">
        <v>36</v>
      </c>
      <c r="W310" t="s">
        <v>1641</v>
      </c>
    </row>
    <row r="311" spans="1:23" ht="25.05" customHeight="1" x14ac:dyDescent="0.3">
      <c r="A311" s="1">
        <v>400</v>
      </c>
      <c r="B311" s="1" t="s">
        <v>25</v>
      </c>
      <c r="C311" s="7" t="s">
        <v>1699</v>
      </c>
      <c r="D311" s="1" t="s">
        <v>1700</v>
      </c>
      <c r="E311" s="1" t="s">
        <v>949</v>
      </c>
      <c r="F311" s="1" t="s">
        <v>701</v>
      </c>
      <c r="G311" s="1">
        <v>2013</v>
      </c>
      <c r="H311" s="1" t="s">
        <v>1701</v>
      </c>
      <c r="I311" s="4" t="s">
        <v>1703</v>
      </c>
      <c r="J311" s="5" t="s">
        <v>1460</v>
      </c>
      <c r="K311" s="1" t="str">
        <f>CONCATENATE("021010049452","")</f>
        <v>021010049452</v>
      </c>
      <c r="L311" s="1" t="s">
        <v>31</v>
      </c>
      <c r="M311" s="1">
        <v>427.07</v>
      </c>
      <c r="N311" s="1" t="s">
        <v>1702</v>
      </c>
      <c r="O311" s="1">
        <v>2013</v>
      </c>
      <c r="P311" s="1"/>
      <c r="Q311" t="s">
        <v>51</v>
      </c>
      <c r="R311" t="s">
        <v>35</v>
      </c>
      <c r="T311">
        <v>227</v>
      </c>
      <c r="U311" t="s">
        <v>36</v>
      </c>
      <c r="W311" t="s">
        <v>1641</v>
      </c>
    </row>
    <row r="312" spans="1:23" ht="25.05" customHeight="1" x14ac:dyDescent="0.3">
      <c r="A312" s="1">
        <v>406</v>
      </c>
      <c r="B312" s="1" t="s">
        <v>25</v>
      </c>
      <c r="C312" s="7" t="s">
        <v>1727</v>
      </c>
      <c r="D312" s="1" t="s">
        <v>1728</v>
      </c>
      <c r="E312" s="1" t="s">
        <v>564</v>
      </c>
      <c r="F312" s="1" t="s">
        <v>701</v>
      </c>
      <c r="G312" s="1">
        <v>2013</v>
      </c>
      <c r="H312" s="1" t="s">
        <v>1729</v>
      </c>
      <c r="I312" s="4" t="s">
        <v>1731</v>
      </c>
      <c r="J312" s="5" t="s">
        <v>1460</v>
      </c>
      <c r="K312" s="1" t="str">
        <f>CONCATENATE("021010049743","")</f>
        <v>021010049743</v>
      </c>
      <c r="L312" s="1" t="s">
        <v>31</v>
      </c>
      <c r="M312" s="1">
        <v>427.07</v>
      </c>
      <c r="N312" s="1" t="s">
        <v>1730</v>
      </c>
      <c r="O312" s="1">
        <v>2013</v>
      </c>
      <c r="P312" s="1"/>
      <c r="Q312" t="s">
        <v>51</v>
      </c>
      <c r="R312" t="s">
        <v>35</v>
      </c>
      <c r="T312">
        <v>199</v>
      </c>
      <c r="U312" t="s">
        <v>36</v>
      </c>
      <c r="W312" t="s">
        <v>1641</v>
      </c>
    </row>
    <row r="313" spans="1:23" ht="25.05" customHeight="1" x14ac:dyDescent="0.3">
      <c r="A313" s="1">
        <v>13</v>
      </c>
      <c r="B313" s="1" t="s">
        <v>25</v>
      </c>
      <c r="C313" s="7" t="s">
        <v>2160</v>
      </c>
      <c r="D313" s="1" t="s">
        <v>2161</v>
      </c>
      <c r="E313" s="1" t="s">
        <v>2162</v>
      </c>
      <c r="F313" s="1" t="s">
        <v>307</v>
      </c>
      <c r="G313" s="1">
        <v>2004</v>
      </c>
      <c r="H313" s="1" t="s">
        <v>2163</v>
      </c>
      <c r="I313" s="4" t="s">
        <v>2165</v>
      </c>
      <c r="J313" s="5" t="s">
        <v>1460</v>
      </c>
      <c r="K313" s="1" t="str">
        <f>CONCATENATE("021010033285","")</f>
        <v>021010033285</v>
      </c>
      <c r="L313" s="1" t="s">
        <v>31</v>
      </c>
      <c r="M313" s="1">
        <v>427.1</v>
      </c>
      <c r="N313" s="1" t="s">
        <v>2164</v>
      </c>
      <c r="O313" s="1"/>
      <c r="P313" s="1"/>
      <c r="Q313" t="s">
        <v>51</v>
      </c>
      <c r="R313" t="s">
        <v>35</v>
      </c>
      <c r="T313">
        <v>224</v>
      </c>
      <c r="U313" t="s">
        <v>36</v>
      </c>
      <c r="W313" t="s">
        <v>336</v>
      </c>
    </row>
    <row r="314" spans="1:23" ht="25.05" customHeight="1" x14ac:dyDescent="0.3">
      <c r="A314" s="1">
        <v>384</v>
      </c>
      <c r="B314" s="1" t="s">
        <v>25</v>
      </c>
      <c r="C314" s="7" t="s">
        <v>1636</v>
      </c>
      <c r="D314" s="1" t="s">
        <v>1637</v>
      </c>
      <c r="E314" s="1" t="s">
        <v>81</v>
      </c>
      <c r="F314" s="1" t="s">
        <v>701</v>
      </c>
      <c r="G314" s="1">
        <v>2013</v>
      </c>
      <c r="H314" s="1" t="s">
        <v>1638</v>
      </c>
      <c r="I314" s="4" t="s">
        <v>1640</v>
      </c>
      <c r="J314" s="5" t="s">
        <v>1460</v>
      </c>
      <c r="K314" s="1" t="str">
        <f>CONCATENATE("021010048647","")</f>
        <v>021010048647</v>
      </c>
      <c r="L314" s="1" t="s">
        <v>31</v>
      </c>
      <c r="M314" s="1">
        <v>427.1</v>
      </c>
      <c r="N314" s="1" t="s">
        <v>1639</v>
      </c>
      <c r="O314" s="1">
        <v>2013</v>
      </c>
      <c r="P314" s="1"/>
      <c r="Q314" t="s">
        <v>51</v>
      </c>
      <c r="R314" t="s">
        <v>35</v>
      </c>
      <c r="T314">
        <v>256</v>
      </c>
      <c r="U314" t="s">
        <v>36</v>
      </c>
      <c r="W314" t="s">
        <v>1641</v>
      </c>
    </row>
    <row r="315" spans="1:23" ht="25.05" customHeight="1" x14ac:dyDescent="0.3">
      <c r="A315" s="1">
        <v>385</v>
      </c>
      <c r="B315" s="1" t="s">
        <v>25</v>
      </c>
      <c r="C315" s="7" t="s">
        <v>1642</v>
      </c>
      <c r="D315" s="1" t="s">
        <v>1643</v>
      </c>
      <c r="E315" s="1" t="s">
        <v>1644</v>
      </c>
      <c r="F315" s="1" t="s">
        <v>701</v>
      </c>
      <c r="G315" s="1">
        <v>2013</v>
      </c>
      <c r="H315" s="1" t="s">
        <v>1645</v>
      </c>
      <c r="I315" s="4" t="s">
        <v>1647</v>
      </c>
      <c r="J315" s="5" t="s">
        <v>1460</v>
      </c>
      <c r="K315" s="1" t="str">
        <f>CONCATENATE("021010048661","")</f>
        <v>021010048661</v>
      </c>
      <c r="L315" s="1" t="s">
        <v>31</v>
      </c>
      <c r="M315" s="1">
        <v>427.1</v>
      </c>
      <c r="N315" s="1" t="s">
        <v>1646</v>
      </c>
      <c r="O315" s="1">
        <v>2013</v>
      </c>
      <c r="P315" s="1"/>
      <c r="Q315" t="s">
        <v>51</v>
      </c>
      <c r="R315" t="s">
        <v>35</v>
      </c>
      <c r="T315">
        <v>236</v>
      </c>
      <c r="U315" t="s">
        <v>36</v>
      </c>
      <c r="W315" t="s">
        <v>1641</v>
      </c>
    </row>
    <row r="316" spans="1:23" ht="25.05" customHeight="1" x14ac:dyDescent="0.3">
      <c r="A316" s="1">
        <v>386</v>
      </c>
      <c r="B316" s="1" t="s">
        <v>25</v>
      </c>
      <c r="C316" s="7" t="s">
        <v>1648</v>
      </c>
      <c r="D316" s="1" t="s">
        <v>1649</v>
      </c>
      <c r="E316" s="1" t="s">
        <v>1601</v>
      </c>
      <c r="F316" s="1" t="s">
        <v>701</v>
      </c>
      <c r="G316" s="1">
        <v>2013</v>
      </c>
      <c r="H316" s="1" t="s">
        <v>1650</v>
      </c>
      <c r="I316" s="4" t="s">
        <v>1652</v>
      </c>
      <c r="J316" s="5" t="s">
        <v>1460</v>
      </c>
      <c r="K316" s="1" t="str">
        <f>CONCATENATE("021010048670","")</f>
        <v>021010048670</v>
      </c>
      <c r="L316" s="1" t="s">
        <v>31</v>
      </c>
      <c r="M316" s="1">
        <v>427.1</v>
      </c>
      <c r="N316" s="1" t="s">
        <v>1651</v>
      </c>
      <c r="O316" s="1">
        <v>2013</v>
      </c>
      <c r="P316" s="1"/>
      <c r="Q316" t="s">
        <v>51</v>
      </c>
      <c r="R316" t="s">
        <v>35</v>
      </c>
      <c r="T316">
        <v>204</v>
      </c>
      <c r="U316" t="s">
        <v>36</v>
      </c>
      <c r="W316" t="s">
        <v>1641</v>
      </c>
    </row>
    <row r="317" spans="1:23" ht="25.05" customHeight="1" x14ac:dyDescent="0.3">
      <c r="A317" s="1">
        <v>65</v>
      </c>
      <c r="B317" s="1" t="s">
        <v>25</v>
      </c>
      <c r="C317" s="7" t="s">
        <v>2101</v>
      </c>
      <c r="D317" s="1" t="s">
        <v>2102</v>
      </c>
      <c r="E317" s="1" t="s">
        <v>564</v>
      </c>
      <c r="F317" s="1" t="s">
        <v>701</v>
      </c>
      <c r="G317" s="1">
        <v>2013</v>
      </c>
      <c r="H317" s="1" t="s">
        <v>2103</v>
      </c>
      <c r="I317" s="4" t="s">
        <v>2105</v>
      </c>
      <c r="J317" s="5" t="s">
        <v>1460</v>
      </c>
      <c r="K317" s="1" t="str">
        <f>CONCATENATE("021010048691","")</f>
        <v>021010048691</v>
      </c>
      <c r="L317" s="1" t="s">
        <v>31</v>
      </c>
      <c r="M317" s="1">
        <v>427.1</v>
      </c>
      <c r="N317" s="1" t="s">
        <v>2104</v>
      </c>
      <c r="O317" s="1">
        <v>2013</v>
      </c>
      <c r="P317" s="1"/>
      <c r="Q317" t="s">
        <v>51</v>
      </c>
      <c r="R317" t="s">
        <v>35</v>
      </c>
      <c r="T317">
        <v>218</v>
      </c>
      <c r="U317" t="s">
        <v>36</v>
      </c>
      <c r="W317" t="s">
        <v>1641</v>
      </c>
    </row>
    <row r="318" spans="1:23" ht="25.05" customHeight="1" x14ac:dyDescent="0.3">
      <c r="A318" s="1">
        <v>388</v>
      </c>
      <c r="B318" s="1" t="s">
        <v>25</v>
      </c>
      <c r="C318" s="7" t="s">
        <v>1658</v>
      </c>
      <c r="D318" s="1" t="s">
        <v>1659</v>
      </c>
      <c r="E318" s="1" t="s">
        <v>81</v>
      </c>
      <c r="F318" s="1" t="s">
        <v>701</v>
      </c>
      <c r="G318" s="1">
        <v>2013</v>
      </c>
      <c r="H318" s="1" t="s">
        <v>1660</v>
      </c>
      <c r="I318" s="4" t="s">
        <v>1662</v>
      </c>
      <c r="J318" s="5" t="s">
        <v>1460</v>
      </c>
      <c r="K318" s="1" t="str">
        <f>CONCATENATE("021010048694","")</f>
        <v>021010048694</v>
      </c>
      <c r="L318" s="1" t="s">
        <v>31</v>
      </c>
      <c r="M318" s="1">
        <v>427.1</v>
      </c>
      <c r="N318" s="1" t="s">
        <v>1661</v>
      </c>
      <c r="O318" s="1">
        <v>2013</v>
      </c>
      <c r="P318" s="1"/>
      <c r="Q318" t="s">
        <v>51</v>
      </c>
      <c r="R318" t="s">
        <v>35</v>
      </c>
      <c r="T318">
        <v>234</v>
      </c>
      <c r="U318" t="s">
        <v>36</v>
      </c>
      <c r="W318" t="s">
        <v>1641</v>
      </c>
    </row>
    <row r="319" spans="1:23" ht="25.05" customHeight="1" x14ac:dyDescent="0.3">
      <c r="A319" s="1">
        <v>331</v>
      </c>
      <c r="B319" s="1" t="s">
        <v>25</v>
      </c>
      <c r="C319" s="7" t="s">
        <v>1508</v>
      </c>
      <c r="D319" s="1" t="s">
        <v>833</v>
      </c>
      <c r="E319" s="1" t="s">
        <v>1509</v>
      </c>
      <c r="F319" s="1" t="s">
        <v>515</v>
      </c>
      <c r="G319" s="1">
        <v>2011</v>
      </c>
      <c r="H319" s="1" t="s">
        <v>1510</v>
      </c>
      <c r="I319" s="4" t="s">
        <v>1512</v>
      </c>
      <c r="J319" s="5" t="s">
        <v>1460</v>
      </c>
      <c r="K319" s="1" t="str">
        <f>CONCATENATE("021010039802","")</f>
        <v>021010039802</v>
      </c>
      <c r="L319" s="1" t="s">
        <v>31</v>
      </c>
      <c r="M319" s="1">
        <v>427.1</v>
      </c>
      <c r="N319" s="1" t="s">
        <v>1511</v>
      </c>
      <c r="O319" s="1">
        <v>2011</v>
      </c>
      <c r="P319" s="1"/>
      <c r="Q319" t="s">
        <v>51</v>
      </c>
      <c r="R319" t="s">
        <v>35</v>
      </c>
      <c r="T319">
        <v>216</v>
      </c>
      <c r="U319" t="s">
        <v>36</v>
      </c>
      <c r="W319" t="s">
        <v>1513</v>
      </c>
    </row>
    <row r="320" spans="1:23" ht="25.05" customHeight="1" x14ac:dyDescent="0.3">
      <c r="A320" s="1">
        <v>342</v>
      </c>
      <c r="B320" s="1" t="s">
        <v>25</v>
      </c>
      <c r="C320" s="7" t="s">
        <v>1541</v>
      </c>
      <c r="D320" s="1" t="s">
        <v>1542</v>
      </c>
      <c r="E320" s="1" t="s">
        <v>742</v>
      </c>
      <c r="F320" s="1" t="s">
        <v>678</v>
      </c>
      <c r="G320" s="1">
        <v>2012</v>
      </c>
      <c r="H320" s="1" t="s">
        <v>1543</v>
      </c>
      <c r="I320" s="4" t="s">
        <v>1545</v>
      </c>
      <c r="J320" s="5" t="s">
        <v>1460</v>
      </c>
      <c r="K320" s="1" t="str">
        <f>CONCATENATE("021010042223","")</f>
        <v>021010042223</v>
      </c>
      <c r="L320" s="1" t="s">
        <v>31</v>
      </c>
      <c r="M320" s="1">
        <v>427.1</v>
      </c>
      <c r="N320" s="1" t="s">
        <v>1544</v>
      </c>
      <c r="O320" s="1">
        <v>2012</v>
      </c>
      <c r="P320" s="1"/>
      <c r="Q320" t="s">
        <v>51</v>
      </c>
      <c r="R320" t="s">
        <v>35</v>
      </c>
      <c r="T320">
        <v>261</v>
      </c>
      <c r="U320" t="s">
        <v>36</v>
      </c>
      <c r="W320" t="s">
        <v>1519</v>
      </c>
    </row>
    <row r="321" spans="1:23" ht="25.05" customHeight="1" x14ac:dyDescent="0.3">
      <c r="A321" s="1">
        <v>21</v>
      </c>
      <c r="B321" s="1" t="s">
        <v>25</v>
      </c>
      <c r="C321" s="7" t="s">
        <v>2180</v>
      </c>
      <c r="D321" s="1" t="s">
        <v>1801</v>
      </c>
      <c r="E321" s="1" t="s">
        <v>1767</v>
      </c>
      <c r="F321" s="1" t="s">
        <v>995</v>
      </c>
      <c r="G321" s="1">
        <v>2016</v>
      </c>
      <c r="H321" s="1"/>
      <c r="I321" s="4" t="s">
        <v>2182</v>
      </c>
      <c r="J321" s="5" t="s">
        <v>1460</v>
      </c>
      <c r="K321" s="1" t="str">
        <f>CONCATENATE("021010052594","")</f>
        <v>021010052594</v>
      </c>
      <c r="L321" s="1" t="s">
        <v>31</v>
      </c>
      <c r="M321" s="1">
        <v>427.1</v>
      </c>
      <c r="N321" s="1" t="s">
        <v>2181</v>
      </c>
      <c r="O321" s="1">
        <v>2016</v>
      </c>
      <c r="P321" s="1"/>
      <c r="Q321" t="s">
        <v>51</v>
      </c>
      <c r="R321" t="s">
        <v>35</v>
      </c>
      <c r="T321">
        <v>96</v>
      </c>
      <c r="U321" t="s">
        <v>36</v>
      </c>
      <c r="W321" t="s">
        <v>2183</v>
      </c>
    </row>
    <row r="322" spans="1:23" ht="25.05" customHeight="1" x14ac:dyDescent="0.3">
      <c r="A322" s="1">
        <v>22</v>
      </c>
      <c r="B322" s="1" t="s">
        <v>25</v>
      </c>
      <c r="C322" s="7" t="s">
        <v>2184</v>
      </c>
      <c r="D322" s="1"/>
      <c r="E322" s="1" t="s">
        <v>1184</v>
      </c>
      <c r="F322" s="1" t="s">
        <v>995</v>
      </c>
      <c r="G322" s="1">
        <v>2016</v>
      </c>
      <c r="H322" s="1" t="s">
        <v>2185</v>
      </c>
      <c r="I322" s="4" t="s">
        <v>2187</v>
      </c>
      <c r="J322" s="5" t="s">
        <v>1460</v>
      </c>
      <c r="K322" s="1" t="str">
        <f>CONCATENATE("021010052680","")</f>
        <v>021010052680</v>
      </c>
      <c r="L322" s="1" t="s">
        <v>31</v>
      </c>
      <c r="M322" s="1">
        <v>427.1</v>
      </c>
      <c r="N322" s="1" t="s">
        <v>2186</v>
      </c>
      <c r="O322" s="1">
        <v>2016</v>
      </c>
      <c r="P322" s="1"/>
      <c r="Q322" t="s">
        <v>51</v>
      </c>
      <c r="R322" t="s">
        <v>35</v>
      </c>
      <c r="T322">
        <v>193</v>
      </c>
      <c r="U322" t="s">
        <v>36</v>
      </c>
      <c r="W322" t="s">
        <v>1754</v>
      </c>
    </row>
    <row r="323" spans="1:23" ht="25.05" customHeight="1" x14ac:dyDescent="0.3">
      <c r="A323" s="1">
        <v>16</v>
      </c>
      <c r="B323" s="1" t="s">
        <v>25</v>
      </c>
      <c r="C323" s="7" t="s">
        <v>2166</v>
      </c>
      <c r="D323" s="1"/>
      <c r="E323" s="1" t="s">
        <v>2091</v>
      </c>
      <c r="F323" s="1" t="s">
        <v>701</v>
      </c>
      <c r="G323" s="1">
        <v>2013</v>
      </c>
      <c r="H323" s="1" t="s">
        <v>2167</v>
      </c>
      <c r="I323" s="4" t="s">
        <v>2169</v>
      </c>
      <c r="J323" s="5" t="s">
        <v>1460</v>
      </c>
      <c r="K323" s="1" t="str">
        <f>CONCATENATE("021010045523","")</f>
        <v>021010045523</v>
      </c>
      <c r="L323" s="1" t="s">
        <v>31</v>
      </c>
      <c r="M323" s="1">
        <v>427.1</v>
      </c>
      <c r="N323" s="1" t="s">
        <v>2168</v>
      </c>
      <c r="O323" s="1">
        <v>2013</v>
      </c>
      <c r="P323" s="1"/>
      <c r="Q323" t="s">
        <v>51</v>
      </c>
      <c r="R323" t="s">
        <v>35</v>
      </c>
      <c r="T323">
        <v>169</v>
      </c>
      <c r="U323" t="s">
        <v>36</v>
      </c>
      <c r="W323" t="s">
        <v>2094</v>
      </c>
    </row>
    <row r="324" spans="1:23" ht="25.05" customHeight="1" x14ac:dyDescent="0.3">
      <c r="A324" s="1">
        <v>375</v>
      </c>
      <c r="B324" s="1" t="s">
        <v>25</v>
      </c>
      <c r="C324" s="7" t="s">
        <v>1609</v>
      </c>
      <c r="D324" s="1" t="s">
        <v>833</v>
      </c>
      <c r="E324" s="1" t="s">
        <v>414</v>
      </c>
      <c r="F324" s="1" t="s">
        <v>678</v>
      </c>
      <c r="G324" s="1">
        <v>2012</v>
      </c>
      <c r="H324" s="1" t="s">
        <v>1610</v>
      </c>
      <c r="I324" s="4" t="s">
        <v>1611</v>
      </c>
      <c r="J324" s="5" t="s">
        <v>1460</v>
      </c>
      <c r="K324" s="1" t="str">
        <f>CONCATENATE("021010048016","")</f>
        <v>021010048016</v>
      </c>
      <c r="L324" s="1" t="s">
        <v>31</v>
      </c>
      <c r="M324" s="1">
        <v>427.1</v>
      </c>
      <c r="N324" s="1" t="s">
        <v>1511</v>
      </c>
      <c r="O324" s="1">
        <v>2012</v>
      </c>
      <c r="P324" s="1"/>
      <c r="Q324" t="s">
        <v>51</v>
      </c>
      <c r="R324" t="s">
        <v>35</v>
      </c>
      <c r="T324">
        <v>245</v>
      </c>
      <c r="U324" t="s">
        <v>36</v>
      </c>
      <c r="W324" t="s">
        <v>1605</v>
      </c>
    </row>
    <row r="325" spans="1:23" ht="25.05" customHeight="1" x14ac:dyDescent="0.3">
      <c r="A325" s="1">
        <v>398</v>
      </c>
      <c r="B325" s="1" t="s">
        <v>25</v>
      </c>
      <c r="C325" s="7" t="s">
        <v>1695</v>
      </c>
      <c r="D325" s="1" t="s">
        <v>1442</v>
      </c>
      <c r="E325" s="1" t="s">
        <v>232</v>
      </c>
      <c r="F325" s="1" t="s">
        <v>701</v>
      </c>
      <c r="G325" s="1">
        <v>2013</v>
      </c>
      <c r="H325" s="1" t="s">
        <v>1696</v>
      </c>
      <c r="I325" s="4" t="s">
        <v>1698</v>
      </c>
      <c r="J325" s="5" t="s">
        <v>1460</v>
      </c>
      <c r="K325" s="1" t="str">
        <f>CONCATENATE("021010049424","")</f>
        <v>021010049424</v>
      </c>
      <c r="L325" s="1" t="s">
        <v>31</v>
      </c>
      <c r="M325" s="1">
        <v>427.1</v>
      </c>
      <c r="N325" s="1" t="s">
        <v>1697</v>
      </c>
      <c r="O325" s="1">
        <v>2013</v>
      </c>
      <c r="P325" s="1"/>
      <c r="Q325" t="s">
        <v>51</v>
      </c>
      <c r="R325" t="s">
        <v>35</v>
      </c>
      <c r="T325">
        <v>199</v>
      </c>
      <c r="U325" t="s">
        <v>36</v>
      </c>
      <c r="W325" t="s">
        <v>1641</v>
      </c>
    </row>
    <row r="326" spans="1:23" ht="25.05" customHeight="1" x14ac:dyDescent="0.3">
      <c r="A326" s="1">
        <v>394</v>
      </c>
      <c r="B326" s="1" t="s">
        <v>25</v>
      </c>
      <c r="C326" s="7" t="s">
        <v>1678</v>
      </c>
      <c r="D326" s="1" t="s">
        <v>1679</v>
      </c>
      <c r="E326" s="1" t="s">
        <v>1680</v>
      </c>
      <c r="F326" s="1" t="s">
        <v>701</v>
      </c>
      <c r="G326" s="1">
        <v>2013</v>
      </c>
      <c r="H326" s="1" t="s">
        <v>1681</v>
      </c>
      <c r="I326" s="4" t="s">
        <v>1683</v>
      </c>
      <c r="J326" s="5" t="s">
        <v>1460</v>
      </c>
      <c r="K326" s="1" t="str">
        <f>CONCATENATE("021010049234","")</f>
        <v>021010049234</v>
      </c>
      <c r="L326" s="1" t="s">
        <v>31</v>
      </c>
      <c r="M326" s="1">
        <v>427.1</v>
      </c>
      <c r="N326" s="1" t="s">
        <v>1682</v>
      </c>
      <c r="O326" s="1">
        <v>2013</v>
      </c>
      <c r="P326" s="1"/>
      <c r="Q326" t="s">
        <v>51</v>
      </c>
      <c r="R326" t="s">
        <v>35</v>
      </c>
      <c r="T326">
        <v>190</v>
      </c>
      <c r="U326" t="s">
        <v>36</v>
      </c>
      <c r="W326" t="s">
        <v>1641</v>
      </c>
    </row>
    <row r="327" spans="1:23" ht="25.05" customHeight="1" x14ac:dyDescent="0.3">
      <c r="A327" s="1">
        <v>429</v>
      </c>
      <c r="B327" s="1" t="s">
        <v>25</v>
      </c>
      <c r="C327" s="7" t="s">
        <v>1771</v>
      </c>
      <c r="D327" s="1" t="s">
        <v>1772</v>
      </c>
      <c r="E327" s="1" t="s">
        <v>917</v>
      </c>
      <c r="F327" s="1" t="s">
        <v>995</v>
      </c>
      <c r="G327" s="1">
        <v>2016</v>
      </c>
      <c r="H327" s="1" t="s">
        <v>1773</v>
      </c>
      <c r="I327" s="4" t="s">
        <v>1775</v>
      </c>
      <c r="J327" s="5" t="s">
        <v>1460</v>
      </c>
      <c r="K327" s="1" t="str">
        <f>CONCATENATE("021010052813","")</f>
        <v>021010052813</v>
      </c>
      <c r="L327" s="1" t="s">
        <v>31</v>
      </c>
      <c r="M327" s="1">
        <v>427.1</v>
      </c>
      <c r="N327" s="1" t="s">
        <v>1774</v>
      </c>
      <c r="O327" s="1">
        <v>2016</v>
      </c>
      <c r="P327" s="1"/>
      <c r="Q327" t="s">
        <v>51</v>
      </c>
      <c r="R327" t="s">
        <v>35</v>
      </c>
      <c r="T327">
        <v>270</v>
      </c>
      <c r="U327" t="s">
        <v>36</v>
      </c>
      <c r="W327" t="s">
        <v>1776</v>
      </c>
    </row>
    <row r="328" spans="1:23" ht="25.05" customHeight="1" x14ac:dyDescent="0.3">
      <c r="A328" s="1">
        <v>397</v>
      </c>
      <c r="B328" s="1" t="s">
        <v>25</v>
      </c>
      <c r="C328" s="7" t="s">
        <v>1689</v>
      </c>
      <c r="D328" s="1" t="s">
        <v>1690</v>
      </c>
      <c r="E328" s="1" t="s">
        <v>1691</v>
      </c>
      <c r="F328" s="1" t="s">
        <v>701</v>
      </c>
      <c r="G328" s="1">
        <v>2013</v>
      </c>
      <c r="H328" s="1" t="s">
        <v>1692</v>
      </c>
      <c r="I328" s="4" t="s">
        <v>1694</v>
      </c>
      <c r="J328" s="5" t="s">
        <v>1460</v>
      </c>
      <c r="K328" s="1" t="str">
        <f>CONCATENATE("021010049395","")</f>
        <v>021010049395</v>
      </c>
      <c r="L328" s="1" t="s">
        <v>31</v>
      </c>
      <c r="M328" s="1">
        <v>427.1</v>
      </c>
      <c r="N328" s="1" t="s">
        <v>1693</v>
      </c>
      <c r="O328" s="1">
        <v>2013</v>
      </c>
      <c r="P328" s="1"/>
      <c r="Q328" t="s">
        <v>51</v>
      </c>
      <c r="R328" t="s">
        <v>35</v>
      </c>
      <c r="T328">
        <v>277</v>
      </c>
      <c r="U328" t="s">
        <v>36</v>
      </c>
      <c r="W328" t="s">
        <v>1641</v>
      </c>
    </row>
    <row r="329" spans="1:23" ht="25.05" customHeight="1" x14ac:dyDescent="0.3">
      <c r="A329" s="1">
        <v>376</v>
      </c>
      <c r="B329" s="1" t="s">
        <v>25</v>
      </c>
      <c r="C329" s="7" t="s">
        <v>1612</v>
      </c>
      <c r="D329" s="1" t="s">
        <v>1613</v>
      </c>
      <c r="E329" s="1" t="s">
        <v>1614</v>
      </c>
      <c r="F329" s="1" t="s">
        <v>678</v>
      </c>
      <c r="G329" s="1">
        <v>2012</v>
      </c>
      <c r="H329" s="1" t="s">
        <v>1615</v>
      </c>
      <c r="I329" s="4" t="s">
        <v>1617</v>
      </c>
      <c r="J329" s="5" t="s">
        <v>1460</v>
      </c>
      <c r="K329" s="1" t="str">
        <f>CONCATENATE("021010048173","")</f>
        <v>021010048173</v>
      </c>
      <c r="L329" s="1" t="s">
        <v>31</v>
      </c>
      <c r="M329" s="1">
        <v>427.1</v>
      </c>
      <c r="N329" s="1" t="s">
        <v>1616</v>
      </c>
      <c r="O329" s="1">
        <v>2012</v>
      </c>
      <c r="P329" s="1"/>
      <c r="Q329" t="s">
        <v>51</v>
      </c>
      <c r="R329" t="s">
        <v>35</v>
      </c>
      <c r="T329">
        <v>266</v>
      </c>
      <c r="U329" t="s">
        <v>36</v>
      </c>
      <c r="W329" t="s">
        <v>1605</v>
      </c>
    </row>
    <row r="330" spans="1:23" ht="25.05" customHeight="1" x14ac:dyDescent="0.3">
      <c r="A330" s="1">
        <v>370</v>
      </c>
      <c r="B330" s="1" t="s">
        <v>25</v>
      </c>
      <c r="C330" s="7" t="s">
        <v>1586</v>
      </c>
      <c r="D330" s="1" t="s">
        <v>1587</v>
      </c>
      <c r="E330" s="1" t="s">
        <v>1588</v>
      </c>
      <c r="F330" s="1" t="s">
        <v>1589</v>
      </c>
      <c r="G330" s="1">
        <v>2012</v>
      </c>
      <c r="H330" s="1" t="s">
        <v>1590</v>
      </c>
      <c r="I330" s="4" t="s">
        <v>1592</v>
      </c>
      <c r="J330" s="5" t="s">
        <v>1460</v>
      </c>
      <c r="K330" s="1" t="str">
        <f>CONCATENATE("021010047442","")</f>
        <v>021010047442</v>
      </c>
      <c r="L330" s="1" t="s">
        <v>31</v>
      </c>
      <c r="M330" s="1">
        <v>427.1</v>
      </c>
      <c r="N330" s="1" t="s">
        <v>1591</v>
      </c>
      <c r="O330" s="1">
        <v>2012</v>
      </c>
      <c r="P330" s="1"/>
      <c r="Q330" t="s">
        <v>51</v>
      </c>
      <c r="R330" t="s">
        <v>35</v>
      </c>
      <c r="T330">
        <v>190</v>
      </c>
      <c r="U330" t="s">
        <v>36</v>
      </c>
      <c r="W330" t="s">
        <v>1580</v>
      </c>
    </row>
    <row r="331" spans="1:23" ht="25.05" customHeight="1" x14ac:dyDescent="0.3">
      <c r="A331" s="1">
        <v>377</v>
      </c>
      <c r="B331" s="1" t="s">
        <v>25</v>
      </c>
      <c r="C331" s="7" t="s">
        <v>1618</v>
      </c>
      <c r="D331" s="1"/>
      <c r="E331" s="1" t="s">
        <v>868</v>
      </c>
      <c r="F331" s="1" t="s">
        <v>678</v>
      </c>
      <c r="G331" s="1">
        <v>2012</v>
      </c>
      <c r="H331" s="1" t="s">
        <v>1619</v>
      </c>
      <c r="I331" s="4" t="s">
        <v>1621</v>
      </c>
      <c r="J331" s="5" t="s">
        <v>1460</v>
      </c>
      <c r="K331" s="1" t="str">
        <f>CONCATENATE("021010048221","")</f>
        <v>021010048221</v>
      </c>
      <c r="L331" s="1" t="s">
        <v>31</v>
      </c>
      <c r="M331" s="1">
        <v>427.1</v>
      </c>
      <c r="N331" s="1" t="s">
        <v>1620</v>
      </c>
      <c r="O331" s="1">
        <v>2012</v>
      </c>
      <c r="P331" s="1"/>
      <c r="Q331" t="s">
        <v>51</v>
      </c>
      <c r="R331" t="s">
        <v>35</v>
      </c>
      <c r="T331">
        <v>210</v>
      </c>
      <c r="U331" t="s">
        <v>36</v>
      </c>
      <c r="W331" t="s">
        <v>1605</v>
      </c>
    </row>
    <row r="332" spans="1:23" ht="25.05" customHeight="1" x14ac:dyDescent="0.3">
      <c r="A332" s="1">
        <v>372</v>
      </c>
      <c r="B332" s="1" t="s">
        <v>25</v>
      </c>
      <c r="C332" s="7" t="s">
        <v>1593</v>
      </c>
      <c r="D332" s="1" t="s">
        <v>1594</v>
      </c>
      <c r="E332" s="1" t="s">
        <v>1595</v>
      </c>
      <c r="F332" s="1" t="s">
        <v>678</v>
      </c>
      <c r="G332" s="1">
        <v>2012</v>
      </c>
      <c r="H332" s="1" t="s">
        <v>1596</v>
      </c>
      <c r="I332" s="4" t="s">
        <v>1598</v>
      </c>
      <c r="J332" s="5" t="s">
        <v>1460</v>
      </c>
      <c r="K332" s="1" t="str">
        <f>CONCATENATE("021010047465","")</f>
        <v>021010047465</v>
      </c>
      <c r="L332" s="1" t="s">
        <v>31</v>
      </c>
      <c r="M332" s="1">
        <v>427.1</v>
      </c>
      <c r="N332" s="1" t="s">
        <v>1597</v>
      </c>
      <c r="O332" s="1">
        <v>2012</v>
      </c>
      <c r="P332" s="1"/>
      <c r="Q332" t="s">
        <v>51</v>
      </c>
      <c r="R332" t="s">
        <v>35</v>
      </c>
      <c r="T332">
        <v>204</v>
      </c>
      <c r="U332" t="s">
        <v>36</v>
      </c>
      <c r="W332" t="s">
        <v>1580</v>
      </c>
    </row>
    <row r="333" spans="1:23" ht="25.05" customHeight="1" x14ac:dyDescent="0.3">
      <c r="A333" s="1">
        <v>407</v>
      </c>
      <c r="B333" s="1" t="s">
        <v>25</v>
      </c>
      <c r="C333" s="7" t="s">
        <v>1732</v>
      </c>
      <c r="D333" s="1" t="s">
        <v>1733</v>
      </c>
      <c r="E333" s="1" t="s">
        <v>1734</v>
      </c>
      <c r="F333" s="1">
        <v>2013</v>
      </c>
      <c r="G333" s="1">
        <v>2013</v>
      </c>
      <c r="H333" s="1" t="s">
        <v>1735</v>
      </c>
      <c r="I333" s="4" t="s">
        <v>1737</v>
      </c>
      <c r="J333" s="5" t="s">
        <v>1460</v>
      </c>
      <c r="K333" s="1" t="str">
        <f>CONCATENATE("021010049760","")</f>
        <v>021010049760</v>
      </c>
      <c r="L333" s="1" t="s">
        <v>31</v>
      </c>
      <c r="M333" s="1">
        <v>427.1</v>
      </c>
      <c r="N333" s="1" t="s">
        <v>1736</v>
      </c>
      <c r="O333" s="1">
        <v>2013</v>
      </c>
      <c r="P333" s="1"/>
      <c r="Q333" t="s">
        <v>51</v>
      </c>
      <c r="R333" t="s">
        <v>35</v>
      </c>
      <c r="T333">
        <v>213</v>
      </c>
      <c r="U333" t="s">
        <v>36</v>
      </c>
      <c r="W333" t="s">
        <v>1641</v>
      </c>
    </row>
    <row r="334" spans="1:23" ht="25.05" customHeight="1" x14ac:dyDescent="0.3">
      <c r="A334" s="1">
        <v>405</v>
      </c>
      <c r="B334" s="1" t="s">
        <v>25</v>
      </c>
      <c r="C334" s="7" t="s">
        <v>1721</v>
      </c>
      <c r="D334" s="1" t="s">
        <v>1722</v>
      </c>
      <c r="E334" s="1" t="s">
        <v>1723</v>
      </c>
      <c r="F334" s="1" t="s">
        <v>701</v>
      </c>
      <c r="G334" s="1">
        <v>2013</v>
      </c>
      <c r="H334" s="1" t="s">
        <v>1724</v>
      </c>
      <c r="I334" s="4" t="s">
        <v>1726</v>
      </c>
      <c r="J334" s="5" t="s">
        <v>1460</v>
      </c>
      <c r="K334" s="1" t="str">
        <f>CONCATENATE("021010049741","")</f>
        <v>021010049741</v>
      </c>
      <c r="L334" s="1" t="s">
        <v>31</v>
      </c>
      <c r="M334" s="1">
        <v>427.1</v>
      </c>
      <c r="N334" s="1" t="s">
        <v>1725</v>
      </c>
      <c r="O334" s="1">
        <v>2013</v>
      </c>
      <c r="P334" s="1"/>
      <c r="Q334" t="s">
        <v>51</v>
      </c>
      <c r="R334" t="s">
        <v>35</v>
      </c>
      <c r="T334">
        <v>241</v>
      </c>
      <c r="U334" t="s">
        <v>36</v>
      </c>
      <c r="W334" t="s">
        <v>1641</v>
      </c>
    </row>
    <row r="335" spans="1:23" ht="25.05" customHeight="1" x14ac:dyDescent="0.3">
      <c r="A335" s="1">
        <v>301</v>
      </c>
      <c r="B335" s="1" t="s">
        <v>25</v>
      </c>
      <c r="C335" s="7" t="s">
        <v>1485</v>
      </c>
      <c r="D335" s="1" t="s">
        <v>1486</v>
      </c>
      <c r="E335" s="1" t="s">
        <v>1487</v>
      </c>
      <c r="F335" s="1" t="s">
        <v>394</v>
      </c>
      <c r="G335" s="1">
        <v>2009</v>
      </c>
      <c r="H335" s="1"/>
      <c r="I335" s="4" t="s">
        <v>1489</v>
      </c>
      <c r="J335" s="5" t="s">
        <v>1460</v>
      </c>
      <c r="K335" s="1" t="str">
        <f>CONCATENATE("021010034437","")</f>
        <v>021010034437</v>
      </c>
      <c r="L335" s="1" t="s">
        <v>31</v>
      </c>
      <c r="M335" s="1">
        <v>427.1</v>
      </c>
      <c r="N335" s="1" t="s">
        <v>1488</v>
      </c>
      <c r="O335" s="1">
        <v>2009</v>
      </c>
      <c r="P335" s="1"/>
      <c r="Q335" t="s">
        <v>51</v>
      </c>
      <c r="R335" t="s">
        <v>35</v>
      </c>
      <c r="T335">
        <v>65</v>
      </c>
      <c r="U335" t="s">
        <v>36</v>
      </c>
      <c r="W335" t="s">
        <v>1490</v>
      </c>
    </row>
    <row r="336" spans="1:23" ht="25.05" customHeight="1" x14ac:dyDescent="0.3">
      <c r="A336" s="1">
        <v>18</v>
      </c>
      <c r="B336" s="1" t="s">
        <v>25</v>
      </c>
      <c r="C336" s="7" t="s">
        <v>2170</v>
      </c>
      <c r="D336" s="1" t="s">
        <v>2171</v>
      </c>
      <c r="E336" s="1" t="s">
        <v>232</v>
      </c>
      <c r="F336" s="1" t="s">
        <v>678</v>
      </c>
      <c r="G336" s="1">
        <v>2012</v>
      </c>
      <c r="H336" s="1" t="s">
        <v>2172</v>
      </c>
      <c r="I336" s="4" t="s">
        <v>2174</v>
      </c>
      <c r="J336" s="5" t="s">
        <v>1460</v>
      </c>
      <c r="K336" s="1" t="str">
        <f>CONCATENATE("021010048484","")</f>
        <v>021010048484</v>
      </c>
      <c r="L336" s="1" t="s">
        <v>31</v>
      </c>
      <c r="M336" s="1">
        <v>427.1</v>
      </c>
      <c r="N336" s="1" t="s">
        <v>2173</v>
      </c>
      <c r="O336" s="1">
        <v>2012</v>
      </c>
      <c r="P336" s="1"/>
      <c r="Q336" t="s">
        <v>51</v>
      </c>
      <c r="R336" t="s">
        <v>35</v>
      </c>
      <c r="T336">
        <v>182</v>
      </c>
      <c r="U336" t="s">
        <v>36</v>
      </c>
      <c r="W336" t="s">
        <v>1605</v>
      </c>
    </row>
    <row r="337" spans="1:23" ht="25.05" customHeight="1" x14ac:dyDescent="0.3">
      <c r="A337" s="1">
        <v>427</v>
      </c>
      <c r="B337" s="1" t="s">
        <v>25</v>
      </c>
      <c r="C337" s="7" t="s">
        <v>1760</v>
      </c>
      <c r="D337" s="1" t="s">
        <v>1761</v>
      </c>
      <c r="E337" s="1" t="s">
        <v>1762</v>
      </c>
      <c r="F337" s="1" t="s">
        <v>995</v>
      </c>
      <c r="G337" s="1">
        <v>2016</v>
      </c>
      <c r="H337" s="1" t="s">
        <v>1763</v>
      </c>
      <c r="I337" s="4" t="s">
        <v>1765</v>
      </c>
      <c r="J337" s="5" t="s">
        <v>1460</v>
      </c>
      <c r="K337" s="1" t="str">
        <f>CONCATENATE("021010052749","")</f>
        <v>021010052749</v>
      </c>
      <c r="L337" s="1" t="s">
        <v>31</v>
      </c>
      <c r="M337" s="1">
        <v>427.1</v>
      </c>
      <c r="N337" s="1" t="s">
        <v>1764</v>
      </c>
      <c r="O337" s="1">
        <v>2016</v>
      </c>
      <c r="P337" s="1"/>
      <c r="Q337" t="s">
        <v>51</v>
      </c>
      <c r="R337" t="s">
        <v>35</v>
      </c>
      <c r="T337">
        <v>231</v>
      </c>
      <c r="U337" t="s">
        <v>36</v>
      </c>
      <c r="W337" t="s">
        <v>1754</v>
      </c>
    </row>
    <row r="338" spans="1:23" ht="25.05" customHeight="1" x14ac:dyDescent="0.3">
      <c r="A338" s="1">
        <v>476</v>
      </c>
      <c r="B338" s="1" t="s">
        <v>25</v>
      </c>
      <c r="C338" s="7" t="s">
        <v>1795</v>
      </c>
      <c r="D338" s="1" t="s">
        <v>1796</v>
      </c>
      <c r="E338" s="1" t="s">
        <v>94</v>
      </c>
      <c r="F338" s="1" t="s">
        <v>307</v>
      </c>
      <c r="G338" s="1">
        <v>2004</v>
      </c>
      <c r="H338" s="1" t="s">
        <v>1797</v>
      </c>
      <c r="I338" s="4" t="s">
        <v>1798</v>
      </c>
      <c r="J338" s="5" t="s">
        <v>1460</v>
      </c>
      <c r="K338" s="1" t="str">
        <f>CONCATENATE("041010000751","")</f>
        <v>041010000751</v>
      </c>
      <c r="L338" s="1" t="s">
        <v>31</v>
      </c>
      <c r="M338" s="1">
        <v>427.1</v>
      </c>
      <c r="N338" s="1" t="s">
        <v>346</v>
      </c>
      <c r="O338" s="1">
        <v>2004</v>
      </c>
      <c r="P338" s="1"/>
      <c r="Q338" t="s">
        <v>51</v>
      </c>
      <c r="R338" t="s">
        <v>35</v>
      </c>
      <c r="T338">
        <v>320</v>
      </c>
      <c r="U338" t="s">
        <v>36</v>
      </c>
      <c r="W338" t="s">
        <v>281</v>
      </c>
    </row>
    <row r="339" spans="1:23" ht="25.05" customHeight="1" x14ac:dyDescent="0.3">
      <c r="A339" s="1">
        <v>302</v>
      </c>
      <c r="B339" s="1" t="s">
        <v>25</v>
      </c>
      <c r="C339" s="7" t="s">
        <v>1491</v>
      </c>
      <c r="D339" s="1" t="s">
        <v>1492</v>
      </c>
      <c r="E339" s="1" t="s">
        <v>1247</v>
      </c>
      <c r="F339" s="1" t="s">
        <v>394</v>
      </c>
      <c r="G339" s="1">
        <v>2009</v>
      </c>
      <c r="H339" s="1" t="s">
        <v>1493</v>
      </c>
      <c r="I339" s="4" t="s">
        <v>1495</v>
      </c>
      <c r="J339" s="5" t="s">
        <v>1460</v>
      </c>
      <c r="K339" s="1" t="str">
        <f>CONCATENATE("021010034438","")</f>
        <v>021010034438</v>
      </c>
      <c r="L339" s="1" t="s">
        <v>31</v>
      </c>
      <c r="M339" s="1">
        <v>427.1</v>
      </c>
      <c r="N339" s="1" t="s">
        <v>1494</v>
      </c>
      <c r="O339" s="1">
        <v>2009</v>
      </c>
      <c r="P339" s="1"/>
      <c r="Q339" t="s">
        <v>51</v>
      </c>
      <c r="R339" t="s">
        <v>35</v>
      </c>
      <c r="T339">
        <v>133</v>
      </c>
      <c r="U339" t="s">
        <v>36</v>
      </c>
      <c r="W339" t="s">
        <v>1490</v>
      </c>
    </row>
    <row r="340" spans="1:23" ht="25.05" customHeight="1" x14ac:dyDescent="0.3">
      <c r="A340" s="1">
        <v>12</v>
      </c>
      <c r="B340" s="1" t="s">
        <v>25</v>
      </c>
      <c r="C340" s="7" t="s">
        <v>2155</v>
      </c>
      <c r="D340" s="1" t="s">
        <v>1486</v>
      </c>
      <c r="E340" s="1" t="s">
        <v>2156</v>
      </c>
      <c r="F340" s="1" t="s">
        <v>225</v>
      </c>
      <c r="G340" s="1">
        <v>2007</v>
      </c>
      <c r="H340" s="1" t="s">
        <v>2157</v>
      </c>
      <c r="I340" s="4" t="s">
        <v>2159</v>
      </c>
      <c r="J340" s="5" t="s">
        <v>1460</v>
      </c>
      <c r="K340" s="1" t="str">
        <f>CONCATENATE("021010025951","")</f>
        <v>021010025951</v>
      </c>
      <c r="L340" s="1" t="s">
        <v>31</v>
      </c>
      <c r="M340" s="1">
        <v>427.1</v>
      </c>
      <c r="N340" s="1" t="s">
        <v>2158</v>
      </c>
      <c r="O340" s="1">
        <v>2007</v>
      </c>
      <c r="P340" s="1"/>
      <c r="Q340" t="s">
        <v>51</v>
      </c>
      <c r="R340" t="s">
        <v>35</v>
      </c>
      <c r="T340">
        <v>112</v>
      </c>
      <c r="U340" t="s">
        <v>36</v>
      </c>
      <c r="W340" t="s">
        <v>1479</v>
      </c>
    </row>
    <row r="341" spans="1:23" ht="25.05" customHeight="1" x14ac:dyDescent="0.3">
      <c r="A341" s="1">
        <v>428</v>
      </c>
      <c r="B341" s="1" t="s">
        <v>25</v>
      </c>
      <c r="C341" s="7" t="s">
        <v>1766</v>
      </c>
      <c r="D341" s="1"/>
      <c r="E341" s="1" t="s">
        <v>1767</v>
      </c>
      <c r="F341" s="1" t="s">
        <v>995</v>
      </c>
      <c r="G341" s="1">
        <v>2016</v>
      </c>
      <c r="H341" s="1" t="s">
        <v>1768</v>
      </c>
      <c r="I341" s="4" t="s">
        <v>1770</v>
      </c>
      <c r="J341" s="5" t="s">
        <v>1460</v>
      </c>
      <c r="K341" s="1" t="str">
        <f>CONCATENATE("021010052769","")</f>
        <v>021010052769</v>
      </c>
      <c r="L341" s="1" t="s">
        <v>31</v>
      </c>
      <c r="M341" s="1">
        <v>427.1</v>
      </c>
      <c r="N341" s="1" t="s">
        <v>1769</v>
      </c>
      <c r="O341" s="1">
        <v>2016</v>
      </c>
      <c r="P341" s="1"/>
      <c r="Q341" t="s">
        <v>51</v>
      </c>
      <c r="R341" t="s">
        <v>35</v>
      </c>
      <c r="T341">
        <v>193</v>
      </c>
      <c r="U341" t="s">
        <v>36</v>
      </c>
      <c r="W341" t="s">
        <v>1754</v>
      </c>
    </row>
    <row r="342" spans="1:23" ht="25.05" customHeight="1" x14ac:dyDescent="0.3">
      <c r="A342" s="1">
        <v>275</v>
      </c>
      <c r="B342" s="1" t="s">
        <v>25</v>
      </c>
      <c r="C342" s="7" t="s">
        <v>1469</v>
      </c>
      <c r="D342" s="1" t="s">
        <v>1470</v>
      </c>
      <c r="E342" s="1" t="s">
        <v>1465</v>
      </c>
      <c r="F342" s="1" t="s">
        <v>118</v>
      </c>
      <c r="G342" s="1">
        <v>1998</v>
      </c>
      <c r="H342" s="1" t="s">
        <v>1471</v>
      </c>
      <c r="I342" s="4" t="s">
        <v>1473</v>
      </c>
      <c r="J342" s="5" t="s">
        <v>1460</v>
      </c>
      <c r="K342" s="1" t="str">
        <f>CONCATENATE("021010017300","")</f>
        <v>021010017300</v>
      </c>
      <c r="L342" s="1" t="s">
        <v>31</v>
      </c>
      <c r="M342" s="1">
        <v>427.11</v>
      </c>
      <c r="N342" s="1" t="s">
        <v>1472</v>
      </c>
      <c r="O342" s="1"/>
      <c r="P342" s="1"/>
      <c r="Q342" t="s">
        <v>51</v>
      </c>
      <c r="R342" t="s">
        <v>35</v>
      </c>
      <c r="T342">
        <v>150</v>
      </c>
      <c r="U342" t="s">
        <v>36</v>
      </c>
    </row>
    <row r="343" spans="1:23" ht="25.05" customHeight="1" x14ac:dyDescent="0.3">
      <c r="A343" s="1">
        <v>387</v>
      </c>
      <c r="B343" s="1" t="s">
        <v>25</v>
      </c>
      <c r="C343" s="7" t="s">
        <v>1653</v>
      </c>
      <c r="D343" s="1" t="s">
        <v>1654</v>
      </c>
      <c r="E343" s="1" t="s">
        <v>1247</v>
      </c>
      <c r="F343" s="1" t="s">
        <v>701</v>
      </c>
      <c r="G343" s="1">
        <v>2013</v>
      </c>
      <c r="H343" s="1" t="s">
        <v>1655</v>
      </c>
      <c r="I343" s="4" t="s">
        <v>1657</v>
      </c>
      <c r="J343" s="5" t="s">
        <v>1460</v>
      </c>
      <c r="K343" s="1" t="str">
        <f>CONCATENATE("021010048676","")</f>
        <v>021010048676</v>
      </c>
      <c r="L343" s="1" t="s">
        <v>31</v>
      </c>
      <c r="M343" s="1">
        <v>427.12</v>
      </c>
      <c r="N343" s="1" t="s">
        <v>1656</v>
      </c>
      <c r="O343" s="1">
        <v>2013</v>
      </c>
      <c r="P343" s="1"/>
      <c r="Q343" t="s">
        <v>51</v>
      </c>
      <c r="R343" t="s">
        <v>35</v>
      </c>
      <c r="T343">
        <v>234</v>
      </c>
      <c r="U343" t="s">
        <v>36</v>
      </c>
      <c r="W343" t="s">
        <v>1641</v>
      </c>
    </row>
    <row r="344" spans="1:23" ht="25.05" customHeight="1" x14ac:dyDescent="0.3">
      <c r="A344" s="1">
        <v>392</v>
      </c>
      <c r="B344" s="1" t="s">
        <v>25</v>
      </c>
      <c r="C344" s="7" t="s">
        <v>1667</v>
      </c>
      <c r="D344" s="1" t="s">
        <v>1668</v>
      </c>
      <c r="E344" s="1" t="s">
        <v>876</v>
      </c>
      <c r="F344" s="1" t="s">
        <v>701</v>
      </c>
      <c r="G344" s="1">
        <v>2013</v>
      </c>
      <c r="H344" s="1" t="s">
        <v>1669</v>
      </c>
      <c r="I344" s="4" t="s">
        <v>1671</v>
      </c>
      <c r="J344" s="5" t="s">
        <v>1460</v>
      </c>
      <c r="K344" s="1" t="str">
        <f>CONCATENATE("021010049108","")</f>
        <v>021010049108</v>
      </c>
      <c r="L344" s="1" t="s">
        <v>31</v>
      </c>
      <c r="M344" s="1">
        <v>427.12</v>
      </c>
      <c r="N344" s="1" t="s">
        <v>1670</v>
      </c>
      <c r="O344" s="1">
        <v>2013</v>
      </c>
      <c r="P344" s="1"/>
      <c r="Q344" t="s">
        <v>51</v>
      </c>
      <c r="R344" t="s">
        <v>35</v>
      </c>
      <c r="T344">
        <v>474</v>
      </c>
      <c r="U344" t="s">
        <v>36</v>
      </c>
      <c r="W344" t="s">
        <v>1641</v>
      </c>
    </row>
    <row r="345" spans="1:23" ht="25.05" customHeight="1" x14ac:dyDescent="0.3">
      <c r="A345" s="1">
        <v>426</v>
      </c>
      <c r="B345" s="1" t="s">
        <v>25</v>
      </c>
      <c r="C345" s="7" t="s">
        <v>1755</v>
      </c>
      <c r="D345" s="1" t="s">
        <v>1756</v>
      </c>
      <c r="E345" s="1" t="s">
        <v>1360</v>
      </c>
      <c r="F345" s="1" t="s">
        <v>995</v>
      </c>
      <c r="G345" s="1">
        <v>2016</v>
      </c>
      <c r="H345" s="1" t="s">
        <v>1757</v>
      </c>
      <c r="I345" s="4" t="s">
        <v>1759</v>
      </c>
      <c r="J345" s="5" t="s">
        <v>1460</v>
      </c>
      <c r="K345" s="1" t="str">
        <f>CONCATENATE("021010052743","")</f>
        <v>021010052743</v>
      </c>
      <c r="L345" s="1" t="s">
        <v>31</v>
      </c>
      <c r="M345" s="1">
        <v>427.12</v>
      </c>
      <c r="N345" s="1" t="s">
        <v>1758</v>
      </c>
      <c r="O345" s="1">
        <v>2016</v>
      </c>
      <c r="P345" s="1"/>
      <c r="Q345" t="s">
        <v>51</v>
      </c>
      <c r="R345" t="s">
        <v>35</v>
      </c>
      <c r="T345">
        <v>384</v>
      </c>
      <c r="U345" t="s">
        <v>36</v>
      </c>
      <c r="W345" t="s">
        <v>1754</v>
      </c>
    </row>
    <row r="346" spans="1:23" ht="25.05" customHeight="1" x14ac:dyDescent="0.3">
      <c r="A346" s="1">
        <v>356</v>
      </c>
      <c r="B346" s="1" t="s">
        <v>25</v>
      </c>
      <c r="C346" s="7" t="s">
        <v>3055</v>
      </c>
      <c r="D346" s="1" t="s">
        <v>1553</v>
      </c>
      <c r="E346" s="1" t="s">
        <v>1554</v>
      </c>
      <c r="F346" s="1">
        <v>2013.01</v>
      </c>
      <c r="G346" s="1">
        <v>2013</v>
      </c>
      <c r="H346" s="1" t="s">
        <v>1555</v>
      </c>
      <c r="I346" s="4" t="s">
        <v>1557</v>
      </c>
      <c r="J346" s="5" t="s">
        <v>1460</v>
      </c>
      <c r="K346" s="1" t="str">
        <f>CONCATENATE("021010045400","")</f>
        <v>021010045400</v>
      </c>
      <c r="L346" s="1" t="s">
        <v>31</v>
      </c>
      <c r="M346" s="1">
        <v>427.13099999999997</v>
      </c>
      <c r="N346" s="1" t="s">
        <v>1556</v>
      </c>
      <c r="O346" s="1">
        <v>2013</v>
      </c>
      <c r="P346" s="1"/>
      <c r="Q346" t="s">
        <v>51</v>
      </c>
      <c r="R346" t="s">
        <v>35</v>
      </c>
      <c r="T346">
        <v>323</v>
      </c>
      <c r="U346" t="s">
        <v>36</v>
      </c>
      <c r="W346" t="s">
        <v>1558</v>
      </c>
    </row>
    <row r="347" spans="1:23" ht="25.05" customHeight="1" x14ac:dyDescent="0.3">
      <c r="A347" s="1">
        <v>341</v>
      </c>
      <c r="B347" s="1" t="s">
        <v>25</v>
      </c>
      <c r="C347" s="7" t="s">
        <v>1536</v>
      </c>
      <c r="D347" s="1" t="s">
        <v>1537</v>
      </c>
      <c r="E347" s="1" t="s">
        <v>564</v>
      </c>
      <c r="F347" s="1" t="s">
        <v>678</v>
      </c>
      <c r="G347" s="1">
        <v>2012</v>
      </c>
      <c r="H347" s="1" t="s">
        <v>1538</v>
      </c>
      <c r="I347" s="4" t="s">
        <v>1540</v>
      </c>
      <c r="J347" s="5" t="s">
        <v>1460</v>
      </c>
      <c r="K347" s="1" t="str">
        <f>CONCATENATE("021010042219","")</f>
        <v>021010042219</v>
      </c>
      <c r="L347" s="1" t="s">
        <v>31</v>
      </c>
      <c r="M347" s="1">
        <v>427.13099999999997</v>
      </c>
      <c r="N347" s="1" t="s">
        <v>1539</v>
      </c>
      <c r="O347" s="1">
        <v>2012</v>
      </c>
      <c r="P347" s="1"/>
      <c r="Q347" t="s">
        <v>51</v>
      </c>
      <c r="R347" t="s">
        <v>35</v>
      </c>
      <c r="T347">
        <v>254</v>
      </c>
      <c r="U347" t="s">
        <v>36</v>
      </c>
      <c r="W347" t="s">
        <v>1519</v>
      </c>
    </row>
    <row r="348" spans="1:23" ht="25.05" customHeight="1" x14ac:dyDescent="0.3">
      <c r="A348" s="1">
        <v>298</v>
      </c>
      <c r="B348" s="1" t="s">
        <v>25</v>
      </c>
      <c r="C348" s="7" t="s">
        <v>1480</v>
      </c>
      <c r="D348" s="1" t="s">
        <v>1481</v>
      </c>
      <c r="E348" s="1" t="s">
        <v>1184</v>
      </c>
      <c r="F348" s="1" t="s">
        <v>307</v>
      </c>
      <c r="G348" s="1">
        <v>2004</v>
      </c>
      <c r="H348" s="1" t="s">
        <v>1482</v>
      </c>
      <c r="I348" s="4" t="s">
        <v>1484</v>
      </c>
      <c r="J348" s="5" t="s">
        <v>1460</v>
      </c>
      <c r="K348" s="1" t="str">
        <f>CONCATENATE("021010033221","")</f>
        <v>021010033221</v>
      </c>
      <c r="L348" s="1" t="s">
        <v>31</v>
      </c>
      <c r="M348" s="1">
        <v>427.13099999999997</v>
      </c>
      <c r="N348" s="1" t="s">
        <v>1483</v>
      </c>
      <c r="O348" s="1"/>
      <c r="P348" s="1"/>
      <c r="Q348" t="s">
        <v>51</v>
      </c>
      <c r="R348" t="s">
        <v>35</v>
      </c>
      <c r="T348">
        <v>81</v>
      </c>
      <c r="U348" t="s">
        <v>36</v>
      </c>
      <c r="W348" t="s">
        <v>311</v>
      </c>
    </row>
    <row r="349" spans="1:23" ht="25.05" customHeight="1" x14ac:dyDescent="0.3">
      <c r="A349" s="1">
        <v>358</v>
      </c>
      <c r="B349" s="1" t="s">
        <v>25</v>
      </c>
      <c r="C349" s="7" t="s">
        <v>1565</v>
      </c>
      <c r="D349" s="1" t="s">
        <v>1566</v>
      </c>
      <c r="E349" s="1" t="s">
        <v>1247</v>
      </c>
      <c r="F349" s="1" t="s">
        <v>701</v>
      </c>
      <c r="G349" s="1">
        <v>2013</v>
      </c>
      <c r="H349" s="1" t="s">
        <v>1567</v>
      </c>
      <c r="I349" s="4" t="s">
        <v>1569</v>
      </c>
      <c r="J349" s="5" t="s">
        <v>1460</v>
      </c>
      <c r="K349" s="1" t="str">
        <f>CONCATENATE("021010045403","")</f>
        <v>021010045403</v>
      </c>
      <c r="L349" s="1" t="s">
        <v>31</v>
      </c>
      <c r="M349" s="1">
        <v>427.13099999999997</v>
      </c>
      <c r="N349" s="1" t="s">
        <v>1568</v>
      </c>
      <c r="O349" s="1">
        <v>2013</v>
      </c>
      <c r="P349" s="1"/>
      <c r="Q349" t="s">
        <v>51</v>
      </c>
      <c r="R349" t="s">
        <v>35</v>
      </c>
      <c r="T349">
        <v>272</v>
      </c>
      <c r="U349" t="s">
        <v>36</v>
      </c>
      <c r="W349" t="s">
        <v>1558</v>
      </c>
    </row>
    <row r="350" spans="1:23" ht="25.05" customHeight="1" x14ac:dyDescent="0.3">
      <c r="A350" s="1">
        <v>373</v>
      </c>
      <c r="B350" s="1" t="s">
        <v>25</v>
      </c>
      <c r="C350" s="7" t="s">
        <v>1599</v>
      </c>
      <c r="D350" s="1" t="s">
        <v>1600</v>
      </c>
      <c r="E350" s="1" t="s">
        <v>1601</v>
      </c>
      <c r="F350" s="1" t="s">
        <v>678</v>
      </c>
      <c r="G350" s="1">
        <v>2012</v>
      </c>
      <c r="H350" s="1" t="s">
        <v>1602</v>
      </c>
      <c r="I350" s="4" t="s">
        <v>1604</v>
      </c>
      <c r="J350" s="5" t="s">
        <v>1460</v>
      </c>
      <c r="K350" s="1" t="str">
        <f>CONCATENATE("021010047954","")</f>
        <v>021010047954</v>
      </c>
      <c r="L350" s="1" t="s">
        <v>31</v>
      </c>
      <c r="M350" s="1">
        <v>427.16</v>
      </c>
      <c r="N350" s="1" t="s">
        <v>1603</v>
      </c>
      <c r="O350" s="1">
        <v>2012</v>
      </c>
      <c r="P350" s="1"/>
      <c r="Q350" t="s">
        <v>51</v>
      </c>
      <c r="R350" t="s">
        <v>35</v>
      </c>
      <c r="T350">
        <v>175</v>
      </c>
      <c r="U350" t="s">
        <v>36</v>
      </c>
      <c r="W350" t="s">
        <v>1605</v>
      </c>
    </row>
    <row r="351" spans="1:23" ht="25.05" customHeight="1" x14ac:dyDescent="0.3">
      <c r="A351" s="1">
        <v>19</v>
      </c>
      <c r="B351" s="1" t="s">
        <v>25</v>
      </c>
      <c r="C351" s="7" t="s">
        <v>2175</v>
      </c>
      <c r="D351" s="1" t="s">
        <v>2176</v>
      </c>
      <c r="E351" s="1" t="s">
        <v>2177</v>
      </c>
      <c r="F351" s="1" t="s">
        <v>701</v>
      </c>
      <c r="G351" s="1">
        <v>2013</v>
      </c>
      <c r="H351" s="1" t="s">
        <v>2178</v>
      </c>
      <c r="I351" s="4" t="s">
        <v>2179</v>
      </c>
      <c r="J351" s="5" t="s">
        <v>1460</v>
      </c>
      <c r="K351" s="1" t="str">
        <f>CONCATENATE("021010049000","")</f>
        <v>021010049000</v>
      </c>
      <c r="L351" s="1" t="s">
        <v>31</v>
      </c>
      <c r="M351" s="1">
        <v>427.16</v>
      </c>
      <c r="N351" s="1" t="s">
        <v>1568</v>
      </c>
      <c r="O351" s="1">
        <v>2013</v>
      </c>
      <c r="P351" s="1"/>
      <c r="Q351" t="s">
        <v>51</v>
      </c>
      <c r="R351" t="s">
        <v>35</v>
      </c>
      <c r="T351">
        <v>234</v>
      </c>
      <c r="U351" t="s">
        <v>36</v>
      </c>
      <c r="W351" t="s">
        <v>1641</v>
      </c>
    </row>
    <row r="352" spans="1:23" ht="25.05" customHeight="1" x14ac:dyDescent="0.3">
      <c r="A352" s="1">
        <v>421</v>
      </c>
      <c r="B352" s="1" t="s">
        <v>25</v>
      </c>
      <c r="C352" s="7" t="s">
        <v>1748</v>
      </c>
      <c r="D352" s="1" t="s">
        <v>1749</v>
      </c>
      <c r="E352" s="1" t="s">
        <v>41</v>
      </c>
      <c r="F352" s="1" t="s">
        <v>715</v>
      </c>
      <c r="G352" s="1">
        <v>2014</v>
      </c>
      <c r="H352" s="1" t="s">
        <v>1750</v>
      </c>
      <c r="I352" s="4" t="s">
        <v>1752</v>
      </c>
      <c r="J352" s="5" t="s">
        <v>1460</v>
      </c>
      <c r="K352" s="1" t="str">
        <f>CONCATENATE("021010052158","")</f>
        <v>021010052158</v>
      </c>
      <c r="L352" s="1" t="s">
        <v>31</v>
      </c>
      <c r="M352" s="1">
        <v>427.16</v>
      </c>
      <c r="N352" s="1" t="s">
        <v>1751</v>
      </c>
      <c r="O352" s="1">
        <v>2014</v>
      </c>
      <c r="P352" s="1"/>
      <c r="Q352" t="s">
        <v>51</v>
      </c>
      <c r="R352" t="s">
        <v>35</v>
      </c>
      <c r="T352">
        <v>252</v>
      </c>
      <c r="U352" t="s">
        <v>36</v>
      </c>
      <c r="W352" t="s">
        <v>1753</v>
      </c>
    </row>
    <row r="353" spans="1:23" ht="25.05" customHeight="1" x14ac:dyDescent="0.3">
      <c r="A353" s="1">
        <v>60</v>
      </c>
      <c r="B353" s="1" t="s">
        <v>25</v>
      </c>
      <c r="C353" s="7" t="s">
        <v>2090</v>
      </c>
      <c r="D353" s="1" t="s">
        <v>1183</v>
      </c>
      <c r="E353" s="1" t="s">
        <v>2091</v>
      </c>
      <c r="F353" s="1" t="s">
        <v>701</v>
      </c>
      <c r="G353" s="1">
        <v>2013</v>
      </c>
      <c r="H353" s="1" t="s">
        <v>2092</v>
      </c>
      <c r="I353" s="4" t="s">
        <v>2093</v>
      </c>
      <c r="J353" s="5" t="s">
        <v>1460</v>
      </c>
      <c r="K353" s="1" t="str">
        <f>CONCATENATE("021010045521","")</f>
        <v>021010045521</v>
      </c>
      <c r="L353" s="1" t="s">
        <v>31</v>
      </c>
      <c r="M353" s="1">
        <v>427.17</v>
      </c>
      <c r="N353" s="1" t="s">
        <v>402</v>
      </c>
      <c r="O353" s="1">
        <v>2013</v>
      </c>
      <c r="P353" s="1"/>
      <c r="Q353" t="s">
        <v>51</v>
      </c>
      <c r="R353" t="s">
        <v>35</v>
      </c>
      <c r="T353">
        <v>143</v>
      </c>
      <c r="U353" t="s">
        <v>36</v>
      </c>
      <c r="W353" t="s">
        <v>2094</v>
      </c>
    </row>
    <row r="354" spans="1:23" ht="25.05" customHeight="1" x14ac:dyDescent="0.3">
      <c r="A354" s="1">
        <v>59</v>
      </c>
      <c r="B354" s="1" t="s">
        <v>25</v>
      </c>
      <c r="C354" s="7" t="s">
        <v>2085</v>
      </c>
      <c r="D354" s="1" t="s">
        <v>2086</v>
      </c>
      <c r="E354" s="1" t="s">
        <v>2021</v>
      </c>
      <c r="F354" s="1" t="s">
        <v>701</v>
      </c>
      <c r="G354" s="1">
        <v>2013</v>
      </c>
      <c r="H354" s="1" t="s">
        <v>2087</v>
      </c>
      <c r="I354" s="4" t="s">
        <v>2089</v>
      </c>
      <c r="J354" s="5" t="s">
        <v>1460</v>
      </c>
      <c r="K354" s="1" t="str">
        <f>CONCATENATE("021010045401","")</f>
        <v>021010045401</v>
      </c>
      <c r="L354" s="1" t="s">
        <v>31</v>
      </c>
      <c r="M354" s="1">
        <v>427.17</v>
      </c>
      <c r="N354" s="1" t="s">
        <v>2088</v>
      </c>
      <c r="O354" s="1">
        <v>2013</v>
      </c>
      <c r="P354" s="1"/>
      <c r="Q354" t="s">
        <v>51</v>
      </c>
      <c r="R354" t="s">
        <v>35</v>
      </c>
      <c r="T354">
        <v>238</v>
      </c>
      <c r="U354" t="s">
        <v>36</v>
      </c>
      <c r="W354" t="s">
        <v>1558</v>
      </c>
    </row>
    <row r="355" spans="1:23" ht="25.05" customHeight="1" x14ac:dyDescent="0.3">
      <c r="A355" s="1">
        <v>52</v>
      </c>
      <c r="B355" s="1" t="s">
        <v>25</v>
      </c>
      <c r="C355" s="7" t="s">
        <v>2080</v>
      </c>
      <c r="D355" s="1" t="s">
        <v>2081</v>
      </c>
      <c r="E355" s="1" t="s">
        <v>456</v>
      </c>
      <c r="F355" s="1" t="s">
        <v>678</v>
      </c>
      <c r="G355" s="1">
        <v>2012</v>
      </c>
      <c r="H355" s="1" t="s">
        <v>2082</v>
      </c>
      <c r="I355" s="4" t="s">
        <v>2084</v>
      </c>
      <c r="J355" s="5" t="s">
        <v>1460</v>
      </c>
      <c r="K355" s="1" t="str">
        <f>CONCATENATE("021010042161","")</f>
        <v>021010042161</v>
      </c>
      <c r="L355" s="1" t="s">
        <v>31</v>
      </c>
      <c r="M355" s="1">
        <v>427.17</v>
      </c>
      <c r="N355" s="1" t="s">
        <v>2083</v>
      </c>
      <c r="O355" s="1">
        <v>2012</v>
      </c>
      <c r="P355" s="1"/>
      <c r="Q355" t="s">
        <v>51</v>
      </c>
      <c r="R355" t="s">
        <v>35</v>
      </c>
      <c r="T355">
        <v>218</v>
      </c>
      <c r="U355" t="s">
        <v>36</v>
      </c>
      <c r="W355" t="s">
        <v>1519</v>
      </c>
    </row>
    <row r="356" spans="1:23" ht="25.05" customHeight="1" x14ac:dyDescent="0.3">
      <c r="A356" s="1">
        <v>66</v>
      </c>
      <c r="B356" s="1" t="s">
        <v>25</v>
      </c>
      <c r="C356" s="7" t="s">
        <v>2106</v>
      </c>
      <c r="D356" s="1" t="s">
        <v>1805</v>
      </c>
      <c r="E356" s="1" t="s">
        <v>2107</v>
      </c>
      <c r="F356" s="1" t="s">
        <v>701</v>
      </c>
      <c r="G356" s="1">
        <v>2013</v>
      </c>
      <c r="H356" s="1" t="s">
        <v>2108</v>
      </c>
      <c r="I356" s="4" t="s">
        <v>2109</v>
      </c>
      <c r="J356" s="5" t="s">
        <v>1460</v>
      </c>
      <c r="K356" s="1" t="str">
        <f>CONCATENATE("021010049707","")</f>
        <v>021010049707</v>
      </c>
      <c r="L356" s="1" t="s">
        <v>31</v>
      </c>
      <c r="M356" s="1">
        <v>427.17</v>
      </c>
      <c r="N356" s="1" t="s">
        <v>1808</v>
      </c>
      <c r="O356" s="1">
        <v>2013</v>
      </c>
      <c r="P356" s="1"/>
      <c r="Q356" t="s">
        <v>274</v>
      </c>
      <c r="R356" t="s">
        <v>35</v>
      </c>
      <c r="T356">
        <v>298</v>
      </c>
      <c r="U356" t="s">
        <v>36</v>
      </c>
      <c r="W356" t="s">
        <v>1641</v>
      </c>
    </row>
    <row r="357" spans="1:23" ht="25.05" customHeight="1" x14ac:dyDescent="0.3">
      <c r="A357" s="1">
        <v>369</v>
      </c>
      <c r="B357" s="1" t="s">
        <v>25</v>
      </c>
      <c r="C357" s="7" t="s">
        <v>1581</v>
      </c>
      <c r="D357" s="1" t="s">
        <v>618</v>
      </c>
      <c r="E357" s="1" t="s">
        <v>1582</v>
      </c>
      <c r="F357" s="1" t="s">
        <v>678</v>
      </c>
      <c r="G357" s="1">
        <v>2012</v>
      </c>
      <c r="H357" s="1" t="s">
        <v>1583</v>
      </c>
      <c r="I357" s="4" t="s">
        <v>1585</v>
      </c>
      <c r="J357" s="5" t="s">
        <v>1460</v>
      </c>
      <c r="K357" s="1" t="str">
        <f>CONCATENATE("021010047319","")</f>
        <v>021010047319</v>
      </c>
      <c r="L357" s="1" t="s">
        <v>31</v>
      </c>
      <c r="M357" s="1">
        <v>427.2</v>
      </c>
      <c r="N357" s="1" t="s">
        <v>1584</v>
      </c>
      <c r="O357" s="1">
        <v>2012</v>
      </c>
      <c r="P357" s="1"/>
      <c r="Q357" t="s">
        <v>51</v>
      </c>
      <c r="R357" t="s">
        <v>35</v>
      </c>
      <c r="T357">
        <v>190</v>
      </c>
      <c r="U357" t="s">
        <v>36</v>
      </c>
      <c r="W357" t="s">
        <v>1580</v>
      </c>
    </row>
    <row r="358" spans="1:23" ht="25.05" customHeight="1" x14ac:dyDescent="0.3">
      <c r="A358" s="1">
        <v>379</v>
      </c>
      <c r="B358" s="1" t="s">
        <v>25</v>
      </c>
      <c r="C358" s="7" t="s">
        <v>1627</v>
      </c>
      <c r="D358" s="1" t="s">
        <v>1628</v>
      </c>
      <c r="E358" s="1" t="s">
        <v>868</v>
      </c>
      <c r="F358" s="1">
        <v>2012</v>
      </c>
      <c r="G358" s="1">
        <v>2012</v>
      </c>
      <c r="H358" s="1" t="s">
        <v>1629</v>
      </c>
      <c r="I358" s="4" t="s">
        <v>1630</v>
      </c>
      <c r="J358" s="5" t="s">
        <v>1460</v>
      </c>
      <c r="K358" s="1" t="str">
        <f>CONCATENATE("021010048295","")</f>
        <v>021010048295</v>
      </c>
      <c r="L358" s="1" t="s">
        <v>31</v>
      </c>
      <c r="M358" s="1">
        <v>427.2</v>
      </c>
      <c r="N358" s="1" t="s">
        <v>802</v>
      </c>
      <c r="O358" s="1">
        <v>2012</v>
      </c>
      <c r="P358" s="1"/>
      <c r="Q358" t="s">
        <v>51</v>
      </c>
      <c r="R358" t="s">
        <v>35</v>
      </c>
      <c r="T358">
        <v>168</v>
      </c>
      <c r="U358" t="s">
        <v>36</v>
      </c>
      <c r="W358" t="s">
        <v>1605</v>
      </c>
    </row>
    <row r="359" spans="1:23" ht="25.05" customHeight="1" x14ac:dyDescent="0.3">
      <c r="A359" s="1">
        <v>402</v>
      </c>
      <c r="B359" s="1" t="s">
        <v>25</v>
      </c>
      <c r="C359" s="7" t="s">
        <v>1708</v>
      </c>
      <c r="D359" s="1" t="s">
        <v>1709</v>
      </c>
      <c r="E359" s="1" t="s">
        <v>1705</v>
      </c>
      <c r="F359" s="1" t="s">
        <v>701</v>
      </c>
      <c r="G359" s="1">
        <v>2013</v>
      </c>
      <c r="H359" s="1" t="s">
        <v>1710</v>
      </c>
      <c r="I359" s="4" t="s">
        <v>1712</v>
      </c>
      <c r="J359" s="5" t="s">
        <v>1460</v>
      </c>
      <c r="K359" s="1" t="str">
        <f>CONCATENATE("021010049522","")</f>
        <v>021010049522</v>
      </c>
      <c r="L359" s="1" t="s">
        <v>31</v>
      </c>
      <c r="M359" s="1">
        <v>427.21100000000001</v>
      </c>
      <c r="N359" s="1" t="s">
        <v>1711</v>
      </c>
      <c r="O359" s="1">
        <v>2013</v>
      </c>
      <c r="P359" s="1"/>
      <c r="Q359" t="s">
        <v>51</v>
      </c>
      <c r="R359" t="s">
        <v>35</v>
      </c>
      <c r="T359">
        <v>213</v>
      </c>
      <c r="U359" t="s">
        <v>36</v>
      </c>
      <c r="W359" t="s">
        <v>1641</v>
      </c>
    </row>
    <row r="360" spans="1:23" ht="25.05" customHeight="1" x14ac:dyDescent="0.3">
      <c r="A360" s="1">
        <v>401</v>
      </c>
      <c r="B360" s="1" t="s">
        <v>25</v>
      </c>
      <c r="C360" s="7" t="s">
        <v>1704</v>
      </c>
      <c r="D360" s="1" t="s">
        <v>473</v>
      </c>
      <c r="E360" s="1" t="s">
        <v>1705</v>
      </c>
      <c r="F360" s="1" t="s">
        <v>701</v>
      </c>
      <c r="G360" s="1">
        <v>2013</v>
      </c>
      <c r="H360" s="1" t="s">
        <v>1706</v>
      </c>
      <c r="I360" s="4" t="s">
        <v>1707</v>
      </c>
      <c r="J360" s="5" t="s">
        <v>1460</v>
      </c>
      <c r="K360" s="1" t="str">
        <f>CONCATENATE("021010049519","")</f>
        <v>021010049519</v>
      </c>
      <c r="L360" s="1" t="s">
        <v>31</v>
      </c>
      <c r="M360" s="1">
        <v>427.221</v>
      </c>
      <c r="N360" s="1" t="s">
        <v>220</v>
      </c>
      <c r="O360" s="1">
        <v>2013</v>
      </c>
      <c r="P360" s="1"/>
      <c r="Q360" t="s">
        <v>51</v>
      </c>
      <c r="R360" t="s">
        <v>35</v>
      </c>
      <c r="T360">
        <v>249</v>
      </c>
      <c r="U360" t="s">
        <v>36</v>
      </c>
      <c r="W360" t="s">
        <v>1641</v>
      </c>
    </row>
    <row r="361" spans="1:23" ht="25.05" customHeight="1" x14ac:dyDescent="0.3">
      <c r="A361" s="1">
        <v>329</v>
      </c>
      <c r="B361" s="1" t="s">
        <v>25</v>
      </c>
      <c r="C361" s="7" t="s">
        <v>1501</v>
      </c>
      <c r="D361" s="1" t="s">
        <v>1502</v>
      </c>
      <c r="E361" s="1" t="s">
        <v>1503</v>
      </c>
      <c r="F361" s="1" t="s">
        <v>1504</v>
      </c>
      <c r="G361" s="1">
        <v>2010</v>
      </c>
      <c r="H361" s="1"/>
      <c r="I361" s="4" t="s">
        <v>1506</v>
      </c>
      <c r="J361" s="5" t="s">
        <v>1460</v>
      </c>
      <c r="K361" s="1" t="str">
        <f>CONCATENATE("021010039504","")</f>
        <v>021010039504</v>
      </c>
      <c r="L361" s="1" t="s">
        <v>31</v>
      </c>
      <c r="M361" s="1">
        <v>427.25</v>
      </c>
      <c r="N361" s="1" t="s">
        <v>1505</v>
      </c>
      <c r="O361" s="1">
        <v>2011</v>
      </c>
      <c r="P361" s="1" t="s">
        <v>1170</v>
      </c>
      <c r="Q361" t="s">
        <v>51</v>
      </c>
      <c r="R361" t="s">
        <v>35</v>
      </c>
      <c r="T361">
        <v>147</v>
      </c>
      <c r="U361" t="s">
        <v>36</v>
      </c>
      <c r="W361" t="s">
        <v>1507</v>
      </c>
    </row>
    <row r="362" spans="1:23" ht="25.05" customHeight="1" x14ac:dyDescent="0.3">
      <c r="A362" s="1">
        <v>360</v>
      </c>
      <c r="B362" s="1" t="s">
        <v>25</v>
      </c>
      <c r="C362" s="7" t="s">
        <v>1574</v>
      </c>
      <c r="D362" s="1" t="s">
        <v>1575</v>
      </c>
      <c r="E362" s="1" t="s">
        <v>1576</v>
      </c>
      <c r="F362" s="1" t="s">
        <v>701</v>
      </c>
      <c r="G362" s="1">
        <v>2013</v>
      </c>
      <c r="H362" s="1" t="s">
        <v>1577</v>
      </c>
      <c r="I362" s="4" t="s">
        <v>1578</v>
      </c>
      <c r="J362" s="5" t="s">
        <v>1460</v>
      </c>
      <c r="K362" s="1" t="str">
        <f>CONCATENATE("021010045586","")</f>
        <v>021010045586</v>
      </c>
      <c r="L362" s="1" t="s">
        <v>31</v>
      </c>
      <c r="M362" s="1">
        <v>427.3</v>
      </c>
      <c r="N362" s="1" t="s">
        <v>989</v>
      </c>
      <c r="O362" s="1">
        <v>2013</v>
      </c>
      <c r="P362" s="1"/>
      <c r="Q362" t="s">
        <v>51</v>
      </c>
      <c r="R362" t="s">
        <v>35</v>
      </c>
      <c r="T362">
        <v>212</v>
      </c>
      <c r="U362" t="s">
        <v>36</v>
      </c>
      <c r="W362" t="s">
        <v>1579</v>
      </c>
    </row>
    <row r="363" spans="1:23" ht="25.05" customHeight="1" x14ac:dyDescent="0.3">
      <c r="A363" s="1">
        <v>378</v>
      </c>
      <c r="B363" s="1" t="s">
        <v>25</v>
      </c>
      <c r="C363" s="7" t="s">
        <v>1622</v>
      </c>
      <c r="D363" s="1" t="s">
        <v>1623</v>
      </c>
      <c r="E363" s="1" t="s">
        <v>154</v>
      </c>
      <c r="F363" s="1" t="s">
        <v>678</v>
      </c>
      <c r="G363" s="1">
        <v>2012</v>
      </c>
      <c r="H363" s="1" t="s">
        <v>1624</v>
      </c>
      <c r="I363" s="4" t="s">
        <v>1626</v>
      </c>
      <c r="J363" s="5" t="s">
        <v>1460</v>
      </c>
      <c r="K363" s="1" t="str">
        <f>CONCATENATE("021010048225","")</f>
        <v>021010048225</v>
      </c>
      <c r="L363" s="1" t="s">
        <v>31</v>
      </c>
      <c r="M363" s="1">
        <v>427.3</v>
      </c>
      <c r="N363" s="1" t="s">
        <v>1625</v>
      </c>
      <c r="O363" s="1">
        <v>2012</v>
      </c>
      <c r="P363" s="1"/>
      <c r="Q363" t="s">
        <v>51</v>
      </c>
      <c r="R363" t="s">
        <v>35</v>
      </c>
      <c r="T363">
        <v>210</v>
      </c>
      <c r="U363" t="s">
        <v>36</v>
      </c>
      <c r="W363" t="s">
        <v>1605</v>
      </c>
    </row>
    <row r="364" spans="1:23" ht="25.05" customHeight="1" x14ac:dyDescent="0.3">
      <c r="A364" s="1">
        <v>403</v>
      </c>
      <c r="B364" s="1" t="s">
        <v>25</v>
      </c>
      <c r="C364" s="7" t="s">
        <v>1713</v>
      </c>
      <c r="D364" s="1" t="s">
        <v>338</v>
      </c>
      <c r="E364" s="1" t="s">
        <v>876</v>
      </c>
      <c r="F364" s="1" t="s">
        <v>701</v>
      </c>
      <c r="G364" s="1">
        <v>2013</v>
      </c>
      <c r="H364" s="1" t="s">
        <v>1714</v>
      </c>
      <c r="I364" s="4" t="s">
        <v>1715</v>
      </c>
      <c r="J364" s="5" t="s">
        <v>1460</v>
      </c>
      <c r="K364" s="1" t="str">
        <f>CONCATENATE("021010049593","")</f>
        <v>021010049593</v>
      </c>
      <c r="L364" s="1" t="s">
        <v>31</v>
      </c>
      <c r="M364" s="1">
        <v>427.3</v>
      </c>
      <c r="N364" s="1" t="s">
        <v>341</v>
      </c>
      <c r="O364" s="1">
        <v>2013</v>
      </c>
      <c r="P364" s="1"/>
      <c r="Q364" t="s">
        <v>51</v>
      </c>
      <c r="R364" t="s">
        <v>35</v>
      </c>
      <c r="T364">
        <v>212</v>
      </c>
      <c r="U364" t="s">
        <v>36</v>
      </c>
      <c r="W364" t="s">
        <v>1641</v>
      </c>
    </row>
    <row r="365" spans="1:23" ht="25.05" customHeight="1" x14ac:dyDescent="0.3">
      <c r="A365" s="1">
        <v>359</v>
      </c>
      <c r="B365" s="1" t="s">
        <v>25</v>
      </c>
      <c r="C365" s="7" t="s">
        <v>1570</v>
      </c>
      <c r="D365" s="1" t="s">
        <v>344</v>
      </c>
      <c r="E365" s="1" t="s">
        <v>1571</v>
      </c>
      <c r="F365" s="1" t="s">
        <v>701</v>
      </c>
      <c r="G365" s="1">
        <v>2013</v>
      </c>
      <c r="H365" s="1" t="s">
        <v>1572</v>
      </c>
      <c r="I365" s="4" t="s">
        <v>1573</v>
      </c>
      <c r="J365" s="5" t="s">
        <v>1460</v>
      </c>
      <c r="K365" s="1" t="str">
        <f>CONCATENATE("021010045405","")</f>
        <v>021010045405</v>
      </c>
      <c r="L365" s="1" t="s">
        <v>31</v>
      </c>
      <c r="M365" s="1">
        <v>427.31</v>
      </c>
      <c r="N365" s="1" t="s">
        <v>346</v>
      </c>
      <c r="O365" s="1">
        <v>2013</v>
      </c>
      <c r="P365" s="1"/>
      <c r="Q365" t="s">
        <v>51</v>
      </c>
      <c r="R365" t="s">
        <v>35</v>
      </c>
      <c r="T365">
        <v>204</v>
      </c>
      <c r="U365" t="s">
        <v>36</v>
      </c>
      <c r="W365" t="s">
        <v>1558</v>
      </c>
    </row>
    <row r="366" spans="1:23" ht="25.05" customHeight="1" x14ac:dyDescent="0.3">
      <c r="A366" s="1">
        <v>374</v>
      </c>
      <c r="B366" s="1" t="s">
        <v>25</v>
      </c>
      <c r="C366" s="7" t="s">
        <v>1606</v>
      </c>
      <c r="D366" s="1" t="s">
        <v>1442</v>
      </c>
      <c r="E366" s="1" t="s">
        <v>421</v>
      </c>
      <c r="F366" s="1" t="s">
        <v>678</v>
      </c>
      <c r="G366" s="1">
        <v>2012</v>
      </c>
      <c r="H366" s="1" t="s">
        <v>1607</v>
      </c>
      <c r="I366" s="4" t="s">
        <v>1608</v>
      </c>
      <c r="J366" s="5" t="s">
        <v>1460</v>
      </c>
      <c r="K366" s="1" t="str">
        <f>CONCATENATE("021010048008","")</f>
        <v>021010048008</v>
      </c>
      <c r="L366" s="1" t="s">
        <v>31</v>
      </c>
      <c r="M366" s="1">
        <v>427.31</v>
      </c>
      <c r="N366" s="1" t="s">
        <v>156</v>
      </c>
      <c r="O366" s="1">
        <v>2012</v>
      </c>
      <c r="P366" s="1"/>
      <c r="Q366" t="s">
        <v>51</v>
      </c>
      <c r="R366" t="s">
        <v>35</v>
      </c>
      <c r="T366">
        <v>168</v>
      </c>
      <c r="U366" t="s">
        <v>36</v>
      </c>
      <c r="W366" t="s">
        <v>1605</v>
      </c>
    </row>
    <row r="367" spans="1:23" ht="25.05" customHeight="1" x14ac:dyDescent="0.3">
      <c r="A367" s="1">
        <v>404</v>
      </c>
      <c r="B367" s="1" t="s">
        <v>25</v>
      </c>
      <c r="C367" s="7" t="s">
        <v>1716</v>
      </c>
      <c r="D367" s="1"/>
      <c r="E367" s="1" t="s">
        <v>1717</v>
      </c>
      <c r="F367" s="1" t="s">
        <v>701</v>
      </c>
      <c r="G367" s="1">
        <v>2013</v>
      </c>
      <c r="H367" s="1" t="s">
        <v>1718</v>
      </c>
      <c r="I367" s="4" t="s">
        <v>1720</v>
      </c>
      <c r="J367" s="5" t="s">
        <v>1460</v>
      </c>
      <c r="K367" s="1" t="str">
        <f>CONCATENATE("021010049679","")</f>
        <v>021010049679</v>
      </c>
      <c r="L367" s="1" t="s">
        <v>31</v>
      </c>
      <c r="M367" s="1">
        <v>427.31</v>
      </c>
      <c r="N367" s="1" t="s">
        <v>1719</v>
      </c>
      <c r="O367" s="1">
        <v>2013</v>
      </c>
      <c r="P367" s="1"/>
      <c r="Q367" t="s">
        <v>51</v>
      </c>
      <c r="R367" t="s">
        <v>35</v>
      </c>
      <c r="T367">
        <v>199</v>
      </c>
      <c r="U367" t="s">
        <v>36</v>
      </c>
      <c r="W367" t="s">
        <v>1641</v>
      </c>
    </row>
    <row r="368" spans="1:23" ht="25.05" customHeight="1" x14ac:dyDescent="0.3">
      <c r="A368" s="1">
        <v>303</v>
      </c>
      <c r="B368" s="1" t="s">
        <v>25</v>
      </c>
      <c r="C368" s="7" t="s">
        <v>1496</v>
      </c>
      <c r="D368" s="1" t="s">
        <v>1497</v>
      </c>
      <c r="E368" s="1" t="s">
        <v>1498</v>
      </c>
      <c r="F368" s="1" t="s">
        <v>374</v>
      </c>
      <c r="G368" s="1">
        <v>2009</v>
      </c>
      <c r="H368" s="1" t="s">
        <v>1499</v>
      </c>
      <c r="I368" s="4" t="s">
        <v>1500</v>
      </c>
      <c r="J368" s="5" t="s">
        <v>1460</v>
      </c>
      <c r="K368" s="1" t="str">
        <f>CONCATENATE("021010034445","")</f>
        <v>021010034445</v>
      </c>
      <c r="L368" s="1" t="s">
        <v>31</v>
      </c>
      <c r="M368" s="1">
        <v>427.31</v>
      </c>
      <c r="N368" s="1" t="s">
        <v>1086</v>
      </c>
      <c r="O368" s="1">
        <v>2010</v>
      </c>
      <c r="P368" s="1"/>
      <c r="Q368" t="s">
        <v>51</v>
      </c>
      <c r="R368" t="s">
        <v>35</v>
      </c>
      <c r="T368">
        <v>163</v>
      </c>
      <c r="U368" t="s">
        <v>36</v>
      </c>
      <c r="W368" t="s">
        <v>1490</v>
      </c>
    </row>
    <row r="369" spans="1:23" ht="25.05" customHeight="1" x14ac:dyDescent="0.3">
      <c r="A369" s="1">
        <v>408</v>
      </c>
      <c r="B369" s="1" t="s">
        <v>25</v>
      </c>
      <c r="C369" s="7" t="s">
        <v>1738</v>
      </c>
      <c r="D369" s="1"/>
      <c r="E369" s="1" t="s">
        <v>1739</v>
      </c>
      <c r="F369" s="1" t="s">
        <v>701</v>
      </c>
      <c r="G369" s="1">
        <v>2013</v>
      </c>
      <c r="H369" s="1" t="s">
        <v>1740</v>
      </c>
      <c r="I369" s="4" t="s">
        <v>1742</v>
      </c>
      <c r="J369" s="5" t="s">
        <v>1460</v>
      </c>
      <c r="K369" s="1" t="str">
        <f>CONCATENATE("021010049856","")</f>
        <v>021010049856</v>
      </c>
      <c r="L369" s="1" t="s">
        <v>31</v>
      </c>
      <c r="M369" s="1">
        <v>427.31</v>
      </c>
      <c r="N369" s="1" t="s">
        <v>1741</v>
      </c>
      <c r="O369" s="1">
        <v>2013</v>
      </c>
      <c r="P369" s="1"/>
      <c r="Q369" t="s">
        <v>51</v>
      </c>
      <c r="R369" t="s">
        <v>35</v>
      </c>
      <c r="T369">
        <v>249</v>
      </c>
      <c r="U369" t="s">
        <v>36</v>
      </c>
      <c r="W369" t="s">
        <v>1641</v>
      </c>
    </row>
    <row r="370" spans="1:23" ht="25.05" customHeight="1" x14ac:dyDescent="0.3">
      <c r="A370" s="1">
        <v>46</v>
      </c>
      <c r="B370" s="1" t="s">
        <v>25</v>
      </c>
      <c r="C370" s="7" t="s">
        <v>2074</v>
      </c>
      <c r="D370" s="1" t="s">
        <v>2075</v>
      </c>
      <c r="E370" s="1" t="s">
        <v>2076</v>
      </c>
      <c r="F370" s="1" t="s">
        <v>118</v>
      </c>
      <c r="G370" s="1">
        <v>1998</v>
      </c>
      <c r="H370" s="1" t="s">
        <v>2077</v>
      </c>
      <c r="I370" s="4" t="s">
        <v>2079</v>
      </c>
      <c r="J370" s="5" t="s">
        <v>1460</v>
      </c>
      <c r="K370" s="1" t="str">
        <f>CONCATENATE("021010017259","")</f>
        <v>021010017259</v>
      </c>
      <c r="L370" s="1" t="s">
        <v>31</v>
      </c>
      <c r="M370" s="1">
        <v>427.31</v>
      </c>
      <c r="N370" s="1" t="s">
        <v>2078</v>
      </c>
      <c r="O370" s="1"/>
      <c r="P370" s="1"/>
      <c r="Q370" t="s">
        <v>51</v>
      </c>
      <c r="R370" t="s">
        <v>35</v>
      </c>
      <c r="T370">
        <v>120</v>
      </c>
      <c r="U370" t="s">
        <v>36</v>
      </c>
    </row>
    <row r="371" spans="1:23" ht="25.05" customHeight="1" x14ac:dyDescent="0.3">
      <c r="A371" s="1">
        <v>340</v>
      </c>
      <c r="B371" s="1" t="s">
        <v>25</v>
      </c>
      <c r="C371" s="7" t="s">
        <v>1532</v>
      </c>
      <c r="D371" s="1" t="s">
        <v>1533</v>
      </c>
      <c r="E371" s="1" t="s">
        <v>351</v>
      </c>
      <c r="F371" s="1" t="s">
        <v>678</v>
      </c>
      <c r="G371" s="1">
        <v>2012</v>
      </c>
      <c r="H371" s="1" t="s">
        <v>1534</v>
      </c>
      <c r="I371" s="4" t="s">
        <v>1535</v>
      </c>
      <c r="J371" s="5" t="s">
        <v>1460</v>
      </c>
      <c r="K371" s="1" t="str">
        <f>CONCATENATE("021010042209","")</f>
        <v>021010042209</v>
      </c>
      <c r="L371" s="1" t="s">
        <v>31</v>
      </c>
      <c r="M371" s="1">
        <v>427.31</v>
      </c>
      <c r="N371" s="1" t="s">
        <v>363</v>
      </c>
      <c r="O371" s="1">
        <v>2012</v>
      </c>
      <c r="P371" s="1"/>
      <c r="Q371" t="s">
        <v>51</v>
      </c>
      <c r="R371" t="s">
        <v>35</v>
      </c>
      <c r="T371">
        <v>181</v>
      </c>
      <c r="U371" t="s">
        <v>36</v>
      </c>
      <c r="W371" t="s">
        <v>1519</v>
      </c>
    </row>
    <row r="372" spans="1:23" ht="25.05" customHeight="1" x14ac:dyDescent="0.3">
      <c r="A372" s="1">
        <v>357</v>
      </c>
      <c r="B372" s="1" t="s">
        <v>25</v>
      </c>
      <c r="C372" s="7" t="s">
        <v>1559</v>
      </c>
      <c r="D372" s="1" t="s">
        <v>1560</v>
      </c>
      <c r="E372" s="1" t="s">
        <v>1561</v>
      </c>
      <c r="F372" s="1">
        <v>2013</v>
      </c>
      <c r="G372" s="1">
        <v>2013</v>
      </c>
      <c r="H372" s="1" t="s">
        <v>1562</v>
      </c>
      <c r="I372" s="4" t="s">
        <v>1564</v>
      </c>
      <c r="J372" s="5" t="s">
        <v>1460</v>
      </c>
      <c r="K372" s="1" t="str">
        <f>CONCATENATE("021010045402","")</f>
        <v>021010045402</v>
      </c>
      <c r="L372" s="1" t="s">
        <v>31</v>
      </c>
      <c r="M372" s="1">
        <v>427.75</v>
      </c>
      <c r="N372" s="1" t="s">
        <v>1563</v>
      </c>
      <c r="O372" s="1">
        <v>2013</v>
      </c>
      <c r="P372" s="1"/>
      <c r="Q372" t="s">
        <v>51</v>
      </c>
      <c r="R372" t="s">
        <v>35</v>
      </c>
      <c r="T372">
        <v>221</v>
      </c>
      <c r="U372" t="s">
        <v>36</v>
      </c>
      <c r="W372" t="s">
        <v>1558</v>
      </c>
    </row>
    <row r="373" spans="1:23" ht="25.05" customHeight="1" x14ac:dyDescent="0.3">
      <c r="A373" s="1">
        <v>409</v>
      </c>
      <c r="B373" s="1" t="s">
        <v>25</v>
      </c>
      <c r="C373" s="7" t="s">
        <v>1743</v>
      </c>
      <c r="D373" s="1" t="s">
        <v>1744</v>
      </c>
      <c r="E373" s="1" t="s">
        <v>373</v>
      </c>
      <c r="F373" s="1" t="s">
        <v>701</v>
      </c>
      <c r="G373" s="1">
        <v>2013</v>
      </c>
      <c r="H373" s="1" t="s">
        <v>1745</v>
      </c>
      <c r="I373" s="4" t="s">
        <v>1747</v>
      </c>
      <c r="J373" s="5" t="s">
        <v>1460</v>
      </c>
      <c r="K373" s="1" t="str">
        <f>CONCATENATE("021010049908","")</f>
        <v>021010049908</v>
      </c>
      <c r="L373" s="1" t="s">
        <v>31</v>
      </c>
      <c r="M373" s="1">
        <v>435.2</v>
      </c>
      <c r="N373" s="1" t="s">
        <v>1746</v>
      </c>
      <c r="O373" s="1">
        <v>2013</v>
      </c>
      <c r="P373" s="1"/>
      <c r="Q373" t="s">
        <v>51</v>
      </c>
      <c r="R373" t="s">
        <v>35</v>
      </c>
      <c r="T373">
        <v>320</v>
      </c>
      <c r="U373" t="s">
        <v>36</v>
      </c>
      <c r="W373" t="s">
        <v>1641</v>
      </c>
    </row>
    <row r="374" spans="1:23" ht="25.05" customHeight="1" x14ac:dyDescent="0.3">
      <c r="A374" s="1">
        <v>383</v>
      </c>
      <c r="B374" s="1" t="s">
        <v>25</v>
      </c>
      <c r="C374" s="7" t="s">
        <v>1631</v>
      </c>
      <c r="D374" s="1" t="s">
        <v>1632</v>
      </c>
      <c r="E374" s="1" t="s">
        <v>609</v>
      </c>
      <c r="F374" s="1" t="s">
        <v>678</v>
      </c>
      <c r="G374" s="1">
        <v>2012</v>
      </c>
      <c r="H374" s="1" t="s">
        <v>1633</v>
      </c>
      <c r="I374" s="4" t="s">
        <v>1635</v>
      </c>
      <c r="J374" s="5" t="s">
        <v>1460</v>
      </c>
      <c r="K374" s="1" t="str">
        <f>CONCATENATE("021010048594","")</f>
        <v>021010048594</v>
      </c>
      <c r="L374" s="1" t="s">
        <v>31</v>
      </c>
      <c r="M374" s="1">
        <v>435.2</v>
      </c>
      <c r="N374" s="1" t="s">
        <v>1634</v>
      </c>
      <c r="O374" s="1">
        <v>2012</v>
      </c>
      <c r="P374" s="1"/>
      <c r="Q374" t="s">
        <v>51</v>
      </c>
      <c r="R374" t="s">
        <v>35</v>
      </c>
      <c r="T374">
        <v>175</v>
      </c>
      <c r="U374" t="s">
        <v>36</v>
      </c>
      <c r="W374" t="s">
        <v>1605</v>
      </c>
    </row>
    <row r="375" spans="1:23" ht="25.05" customHeight="1" x14ac:dyDescent="0.3">
      <c r="A375" s="1">
        <v>390</v>
      </c>
      <c r="B375" s="1" t="s">
        <v>25</v>
      </c>
      <c r="C375" s="7" t="s">
        <v>1663</v>
      </c>
      <c r="D375" s="1"/>
      <c r="E375" s="1" t="s">
        <v>373</v>
      </c>
      <c r="F375" s="1" t="s">
        <v>701</v>
      </c>
      <c r="G375" s="1">
        <v>2013</v>
      </c>
      <c r="H375" s="1" t="s">
        <v>1664</v>
      </c>
      <c r="I375" s="4" t="s">
        <v>1666</v>
      </c>
      <c r="J375" s="5" t="s">
        <v>1460</v>
      </c>
      <c r="K375" s="1" t="str">
        <f>CONCATENATE("021010048878","")</f>
        <v>021010048878</v>
      </c>
      <c r="L375" s="1" t="s">
        <v>31</v>
      </c>
      <c r="M375" s="1">
        <v>483.8</v>
      </c>
      <c r="N375" s="1" t="s">
        <v>1665</v>
      </c>
      <c r="O375" s="1">
        <v>2013</v>
      </c>
      <c r="P375" s="1"/>
      <c r="Q375" t="s">
        <v>51</v>
      </c>
      <c r="R375" t="s">
        <v>35</v>
      </c>
      <c r="T375">
        <v>277</v>
      </c>
      <c r="U375" t="s">
        <v>36</v>
      </c>
      <c r="W375" t="s">
        <v>1641</v>
      </c>
    </row>
    <row r="376" spans="1:23" ht="25.05" customHeight="1" x14ac:dyDescent="0.3">
      <c r="A376" s="1">
        <v>528</v>
      </c>
      <c r="B376" s="1" t="s">
        <v>25</v>
      </c>
      <c r="C376" s="7" t="s">
        <v>1977</v>
      </c>
      <c r="D376" s="1" t="s">
        <v>1978</v>
      </c>
      <c r="E376" s="1" t="s">
        <v>1979</v>
      </c>
      <c r="F376" s="1" t="s">
        <v>678</v>
      </c>
      <c r="G376" s="1">
        <v>2012</v>
      </c>
      <c r="H376" s="1" t="s">
        <v>1980</v>
      </c>
      <c r="I376" s="4" t="s">
        <v>1982</v>
      </c>
      <c r="J376" s="5" t="s">
        <v>1460</v>
      </c>
      <c r="K376" s="1" t="str">
        <f>CONCATENATE("BCAA04465","")</f>
        <v>BCAA04465</v>
      </c>
      <c r="L376" s="1" t="s">
        <v>31</v>
      </c>
      <c r="M376" s="1">
        <v>483.8</v>
      </c>
      <c r="N376" s="1" t="s">
        <v>1981</v>
      </c>
      <c r="O376" s="1">
        <v>2012</v>
      </c>
      <c r="P376" s="1"/>
      <c r="Q376" t="s">
        <v>51</v>
      </c>
      <c r="R376" t="s">
        <v>35</v>
      </c>
      <c r="T376">
        <v>311</v>
      </c>
      <c r="U376" t="s">
        <v>36</v>
      </c>
      <c r="W376" t="s">
        <v>1983</v>
      </c>
    </row>
    <row r="377" spans="1:23" ht="25.05" customHeight="1" x14ac:dyDescent="0.3">
      <c r="A377" s="1">
        <v>276</v>
      </c>
      <c r="B377" s="1" t="s">
        <v>25</v>
      </c>
      <c r="C377" s="7" t="s">
        <v>1474</v>
      </c>
      <c r="D377" s="1" t="s">
        <v>1475</v>
      </c>
      <c r="E377" s="1" t="s">
        <v>1095</v>
      </c>
      <c r="F377" s="1" t="s">
        <v>118</v>
      </c>
      <c r="G377" s="1">
        <v>1998</v>
      </c>
      <c r="H377" s="1" t="s">
        <v>1476</v>
      </c>
      <c r="I377" s="4" t="s">
        <v>1478</v>
      </c>
      <c r="J377" s="5" t="s">
        <v>1460</v>
      </c>
      <c r="K377" s="1" t="str">
        <f>CONCATENATE("021010017383","")</f>
        <v>021010017383</v>
      </c>
      <c r="L377" s="1" t="s">
        <v>31</v>
      </c>
      <c r="M377" s="1">
        <v>538.78309999999999</v>
      </c>
      <c r="N377" s="1" t="s">
        <v>1477</v>
      </c>
      <c r="O377" s="1"/>
      <c r="P377" s="1"/>
      <c r="Q377" t="s">
        <v>51</v>
      </c>
      <c r="R377" t="s">
        <v>35</v>
      </c>
      <c r="T377">
        <v>280</v>
      </c>
      <c r="U377" t="s">
        <v>36</v>
      </c>
    </row>
    <row r="378" spans="1:23" ht="25.05" customHeight="1" x14ac:dyDescent="0.3">
      <c r="A378" s="1">
        <v>430</v>
      </c>
      <c r="B378" s="1" t="s">
        <v>25</v>
      </c>
      <c r="C378" s="7" t="s">
        <v>1777</v>
      </c>
      <c r="D378" s="1" t="s">
        <v>1778</v>
      </c>
      <c r="E378" s="1" t="s">
        <v>1779</v>
      </c>
      <c r="F378" s="1" t="s">
        <v>1135</v>
      </c>
      <c r="G378" s="1">
        <v>2017</v>
      </c>
      <c r="H378" s="1" t="s">
        <v>1780</v>
      </c>
      <c r="I378" s="4" t="s">
        <v>1782</v>
      </c>
      <c r="J378" s="5" t="s">
        <v>1460</v>
      </c>
      <c r="K378" s="1" t="str">
        <f>CONCATENATE("021010052836","")</f>
        <v>021010052836</v>
      </c>
      <c r="L378" s="1" t="s">
        <v>31</v>
      </c>
      <c r="M378" s="1">
        <v>861.57</v>
      </c>
      <c r="N378" s="1" t="s">
        <v>1781</v>
      </c>
      <c r="O378" s="1">
        <v>2017</v>
      </c>
      <c r="P378" s="1" t="s">
        <v>668</v>
      </c>
      <c r="Q378" t="s">
        <v>51</v>
      </c>
      <c r="R378" t="s">
        <v>35</v>
      </c>
      <c r="T378">
        <v>200</v>
      </c>
      <c r="U378" t="s">
        <v>36</v>
      </c>
      <c r="W378" t="s">
        <v>1776</v>
      </c>
    </row>
    <row r="379" spans="1:23" ht="25.05" customHeight="1" x14ac:dyDescent="0.3">
      <c r="A379" s="1">
        <v>355</v>
      </c>
      <c r="B379" s="1" t="s">
        <v>25</v>
      </c>
      <c r="C379" s="7" t="s">
        <v>1546</v>
      </c>
      <c r="D379" s="1" t="s">
        <v>1547</v>
      </c>
      <c r="E379" s="1" t="s">
        <v>1548</v>
      </c>
      <c r="F379" s="1">
        <v>2012</v>
      </c>
      <c r="G379" s="1">
        <v>2012</v>
      </c>
      <c r="H379" s="1" t="s">
        <v>1549</v>
      </c>
      <c r="I379" s="4" t="s">
        <v>1551</v>
      </c>
      <c r="J379" s="5" t="s">
        <v>1460</v>
      </c>
      <c r="K379" s="1" t="str">
        <f>CONCATENATE("021010045264","")</f>
        <v>021010045264</v>
      </c>
      <c r="L379" s="1" t="s">
        <v>31</v>
      </c>
      <c r="M379" s="1">
        <v>861.67</v>
      </c>
      <c r="N379" s="1" t="s">
        <v>1550</v>
      </c>
      <c r="O379" s="1">
        <v>2012</v>
      </c>
      <c r="P379" s="1"/>
      <c r="Q379" t="s">
        <v>51</v>
      </c>
      <c r="R379" t="s">
        <v>35</v>
      </c>
      <c r="T379">
        <v>170</v>
      </c>
      <c r="U379" t="s">
        <v>36</v>
      </c>
      <c r="W379" t="s">
        <v>1552</v>
      </c>
    </row>
    <row r="380" spans="1:23" ht="25.05" customHeight="1" x14ac:dyDescent="0.3">
      <c r="A380" s="1">
        <v>469</v>
      </c>
      <c r="B380" s="1" t="s">
        <v>25</v>
      </c>
      <c r="C380" s="7" t="s">
        <v>1784</v>
      </c>
      <c r="D380" s="1" t="s">
        <v>135</v>
      </c>
      <c r="E380" s="1" t="s">
        <v>1785</v>
      </c>
      <c r="F380" s="1" t="s">
        <v>1786</v>
      </c>
      <c r="G380" s="1">
        <v>2008</v>
      </c>
      <c r="H380" s="1"/>
      <c r="I380" s="4" t="s">
        <v>1789</v>
      </c>
      <c r="J380" s="5" t="s">
        <v>1783</v>
      </c>
      <c r="K380" s="1" t="str">
        <f>CONCATENATE("021030004204","")</f>
        <v>021030004204</v>
      </c>
      <c r="L380" s="1" t="s">
        <v>1449</v>
      </c>
      <c r="M380" s="1">
        <v>427.1</v>
      </c>
      <c r="N380" s="1" t="s">
        <v>1787</v>
      </c>
      <c r="O380" s="1">
        <v>2008</v>
      </c>
      <c r="P380" s="1" t="s">
        <v>1788</v>
      </c>
      <c r="Q380" t="s">
        <v>51</v>
      </c>
      <c r="R380" t="s">
        <v>1448</v>
      </c>
      <c r="T380">
        <v>32</v>
      </c>
      <c r="U380" t="s">
        <v>36</v>
      </c>
      <c r="W380" t="s">
        <v>1790</v>
      </c>
    </row>
    <row r="381" spans="1:23" ht="25.05" customHeight="1" x14ac:dyDescent="0.3">
      <c r="A381" s="1">
        <v>70</v>
      </c>
      <c r="B381" s="1" t="s">
        <v>25</v>
      </c>
      <c r="C381" s="7" t="s">
        <v>2057</v>
      </c>
      <c r="D381" s="1" t="s">
        <v>2058</v>
      </c>
      <c r="E381" s="1" t="s">
        <v>2059</v>
      </c>
      <c r="F381" s="1" t="s">
        <v>515</v>
      </c>
      <c r="G381" s="1">
        <v>2011</v>
      </c>
      <c r="H381" s="1"/>
      <c r="I381" s="4" t="s">
        <v>2061</v>
      </c>
      <c r="J381" s="5" t="s">
        <v>1783</v>
      </c>
      <c r="K381" s="1" t="str">
        <f>CONCATENATE("021030005126","")</f>
        <v>021030005126</v>
      </c>
      <c r="L381" s="1" t="s">
        <v>1449</v>
      </c>
      <c r="M381" s="1">
        <v>987.83</v>
      </c>
      <c r="N381" s="1" t="s">
        <v>2060</v>
      </c>
      <c r="O381" s="1">
        <v>2011</v>
      </c>
      <c r="P381" s="1"/>
      <c r="Q381" t="s">
        <v>51</v>
      </c>
      <c r="R381" t="s">
        <v>1448</v>
      </c>
      <c r="T381">
        <v>380</v>
      </c>
      <c r="U381" t="s">
        <v>36</v>
      </c>
      <c r="W381" t="s">
        <v>2110</v>
      </c>
    </row>
  </sheetData>
  <autoFilter ref="A2:AB381"/>
  <sortState ref="A2:Z381">
    <sortCondition ref="J2:J381"/>
  </sortState>
  <mergeCells count="1">
    <mergeCell ref="C1:J1"/>
  </mergeCells>
  <phoneticPr fontId="18" type="noConversion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2"/>
  <sheetViews>
    <sheetView tabSelected="1" topLeftCell="D99" workbookViewId="0">
      <selection activeCell="F122" sqref="F122"/>
    </sheetView>
  </sheetViews>
  <sheetFormatPr defaultRowHeight="13.2" x14ac:dyDescent="0.3"/>
  <cols>
    <col min="1" max="2" width="0" style="12" hidden="1" customWidth="1"/>
    <col min="3" max="3" width="4.33203125" style="12" hidden="1" customWidth="1"/>
    <col min="4" max="4" width="56.21875" style="12" customWidth="1"/>
    <col min="5" max="5" width="36.5546875" style="12" hidden="1" customWidth="1"/>
    <col min="6" max="6" width="37.77734375" style="12" customWidth="1"/>
    <col min="7" max="14" width="0" style="12" hidden="1" customWidth="1"/>
    <col min="15" max="15" width="19.21875" style="12" hidden="1" customWidth="1"/>
    <col min="16" max="16" width="24.5546875" style="12" customWidth="1"/>
    <col min="17" max="19" width="0" style="12" hidden="1" customWidth="1"/>
    <col min="20" max="20" width="14.6640625" style="12" hidden="1" customWidth="1"/>
    <col min="21" max="21" width="22.109375" style="12" customWidth="1"/>
    <col min="22" max="22" width="0" style="12" hidden="1" customWidth="1"/>
    <col min="23" max="23" width="12.77734375" style="12" hidden="1" customWidth="1"/>
    <col min="24" max="34" width="0" style="12" hidden="1" customWidth="1"/>
    <col min="35" max="35" width="32.6640625" style="12" hidden="1" customWidth="1"/>
    <col min="36" max="46" width="0" style="12" hidden="1" customWidth="1"/>
    <col min="47" max="258" width="8.88671875" style="12"/>
    <col min="259" max="259" width="4.33203125" style="12" customWidth="1"/>
    <col min="260" max="260" width="23.77734375" style="12" customWidth="1"/>
    <col min="261" max="514" width="8.88671875" style="12"/>
    <col min="515" max="515" width="4.33203125" style="12" customWidth="1"/>
    <col min="516" max="516" width="23.77734375" style="12" customWidth="1"/>
    <col min="517" max="770" width="8.88671875" style="12"/>
    <col min="771" max="771" width="4.33203125" style="12" customWidth="1"/>
    <col min="772" max="772" width="23.77734375" style="12" customWidth="1"/>
    <col min="773" max="1026" width="8.88671875" style="12"/>
    <col min="1027" max="1027" width="4.33203125" style="12" customWidth="1"/>
    <col min="1028" max="1028" width="23.77734375" style="12" customWidth="1"/>
    <col min="1029" max="1282" width="8.88671875" style="12"/>
    <col min="1283" max="1283" width="4.33203125" style="12" customWidth="1"/>
    <col min="1284" max="1284" width="23.77734375" style="12" customWidth="1"/>
    <col min="1285" max="1538" width="8.88671875" style="12"/>
    <col min="1539" max="1539" width="4.33203125" style="12" customWidth="1"/>
    <col min="1540" max="1540" width="23.77734375" style="12" customWidth="1"/>
    <col min="1541" max="1794" width="8.88671875" style="12"/>
    <col min="1795" max="1795" width="4.33203125" style="12" customWidth="1"/>
    <col min="1796" max="1796" width="23.77734375" style="12" customWidth="1"/>
    <col min="1797" max="2050" width="8.88671875" style="12"/>
    <col min="2051" max="2051" width="4.33203125" style="12" customWidth="1"/>
    <col min="2052" max="2052" width="23.77734375" style="12" customWidth="1"/>
    <col min="2053" max="2306" width="8.88671875" style="12"/>
    <col min="2307" max="2307" width="4.33203125" style="12" customWidth="1"/>
    <col min="2308" max="2308" width="23.77734375" style="12" customWidth="1"/>
    <col min="2309" max="2562" width="8.88671875" style="12"/>
    <col min="2563" max="2563" width="4.33203125" style="12" customWidth="1"/>
    <col min="2564" max="2564" width="23.77734375" style="12" customWidth="1"/>
    <col min="2565" max="2818" width="8.88671875" style="12"/>
    <col min="2819" max="2819" width="4.33203125" style="12" customWidth="1"/>
    <col min="2820" max="2820" width="23.77734375" style="12" customWidth="1"/>
    <col min="2821" max="3074" width="8.88671875" style="12"/>
    <col min="3075" max="3075" width="4.33203125" style="12" customWidth="1"/>
    <col min="3076" max="3076" width="23.77734375" style="12" customWidth="1"/>
    <col min="3077" max="3330" width="8.88671875" style="12"/>
    <col min="3331" max="3331" width="4.33203125" style="12" customWidth="1"/>
    <col min="3332" max="3332" width="23.77734375" style="12" customWidth="1"/>
    <col min="3333" max="3586" width="8.88671875" style="12"/>
    <col min="3587" max="3587" width="4.33203125" style="12" customWidth="1"/>
    <col min="3588" max="3588" width="23.77734375" style="12" customWidth="1"/>
    <col min="3589" max="3842" width="8.88671875" style="12"/>
    <col min="3843" max="3843" width="4.33203125" style="12" customWidth="1"/>
    <col min="3844" max="3844" width="23.77734375" style="12" customWidth="1"/>
    <col min="3845" max="4098" width="8.88671875" style="12"/>
    <col min="4099" max="4099" width="4.33203125" style="12" customWidth="1"/>
    <col min="4100" max="4100" width="23.77734375" style="12" customWidth="1"/>
    <col min="4101" max="4354" width="8.88671875" style="12"/>
    <col min="4355" max="4355" width="4.33203125" style="12" customWidth="1"/>
    <col min="4356" max="4356" width="23.77734375" style="12" customWidth="1"/>
    <col min="4357" max="4610" width="8.88671875" style="12"/>
    <col min="4611" max="4611" width="4.33203125" style="12" customWidth="1"/>
    <col min="4612" max="4612" width="23.77734375" style="12" customWidth="1"/>
    <col min="4613" max="4866" width="8.88671875" style="12"/>
    <col min="4867" max="4867" width="4.33203125" style="12" customWidth="1"/>
    <col min="4868" max="4868" width="23.77734375" style="12" customWidth="1"/>
    <col min="4869" max="5122" width="8.88671875" style="12"/>
    <col min="5123" max="5123" width="4.33203125" style="12" customWidth="1"/>
    <col min="5124" max="5124" width="23.77734375" style="12" customWidth="1"/>
    <col min="5125" max="5378" width="8.88671875" style="12"/>
    <col min="5379" max="5379" width="4.33203125" style="12" customWidth="1"/>
    <col min="5380" max="5380" width="23.77734375" style="12" customWidth="1"/>
    <col min="5381" max="5634" width="8.88671875" style="12"/>
    <col min="5635" max="5635" width="4.33203125" style="12" customWidth="1"/>
    <col min="5636" max="5636" width="23.77734375" style="12" customWidth="1"/>
    <col min="5637" max="5890" width="8.88671875" style="12"/>
    <col min="5891" max="5891" width="4.33203125" style="12" customWidth="1"/>
    <col min="5892" max="5892" width="23.77734375" style="12" customWidth="1"/>
    <col min="5893" max="6146" width="8.88671875" style="12"/>
    <col min="6147" max="6147" width="4.33203125" style="12" customWidth="1"/>
    <col min="6148" max="6148" width="23.77734375" style="12" customWidth="1"/>
    <col min="6149" max="6402" width="8.88671875" style="12"/>
    <col min="6403" max="6403" width="4.33203125" style="12" customWidth="1"/>
    <col min="6404" max="6404" width="23.77734375" style="12" customWidth="1"/>
    <col min="6405" max="6658" width="8.88671875" style="12"/>
    <col min="6659" max="6659" width="4.33203125" style="12" customWidth="1"/>
    <col min="6660" max="6660" width="23.77734375" style="12" customWidth="1"/>
    <col min="6661" max="6914" width="8.88671875" style="12"/>
    <col min="6915" max="6915" width="4.33203125" style="12" customWidth="1"/>
    <col min="6916" max="6916" width="23.77734375" style="12" customWidth="1"/>
    <col min="6917" max="7170" width="8.88671875" style="12"/>
    <col min="7171" max="7171" width="4.33203125" style="12" customWidth="1"/>
    <col min="7172" max="7172" width="23.77734375" style="12" customWidth="1"/>
    <col min="7173" max="7426" width="8.88671875" style="12"/>
    <col min="7427" max="7427" width="4.33203125" style="12" customWidth="1"/>
    <col min="7428" max="7428" width="23.77734375" style="12" customWidth="1"/>
    <col min="7429" max="7682" width="8.88671875" style="12"/>
    <col min="7683" max="7683" width="4.33203125" style="12" customWidth="1"/>
    <col min="7684" max="7684" width="23.77734375" style="12" customWidth="1"/>
    <col min="7685" max="7938" width="8.88671875" style="12"/>
    <col min="7939" max="7939" width="4.33203125" style="12" customWidth="1"/>
    <col min="7940" max="7940" width="23.77734375" style="12" customWidth="1"/>
    <col min="7941" max="8194" width="8.88671875" style="12"/>
    <col min="8195" max="8195" width="4.33203125" style="12" customWidth="1"/>
    <col min="8196" max="8196" width="23.77734375" style="12" customWidth="1"/>
    <col min="8197" max="8450" width="8.88671875" style="12"/>
    <col min="8451" max="8451" width="4.33203125" style="12" customWidth="1"/>
    <col min="8452" max="8452" width="23.77734375" style="12" customWidth="1"/>
    <col min="8453" max="8706" width="8.88671875" style="12"/>
    <col min="8707" max="8707" width="4.33203125" style="12" customWidth="1"/>
    <col min="8708" max="8708" width="23.77734375" style="12" customWidth="1"/>
    <col min="8709" max="8962" width="8.88671875" style="12"/>
    <col min="8963" max="8963" width="4.33203125" style="12" customWidth="1"/>
    <col min="8964" max="8964" width="23.77734375" style="12" customWidth="1"/>
    <col min="8965" max="9218" width="8.88671875" style="12"/>
    <col min="9219" max="9219" width="4.33203125" style="12" customWidth="1"/>
    <col min="9220" max="9220" width="23.77734375" style="12" customWidth="1"/>
    <col min="9221" max="9474" width="8.88671875" style="12"/>
    <col min="9475" max="9475" width="4.33203125" style="12" customWidth="1"/>
    <col min="9476" max="9476" width="23.77734375" style="12" customWidth="1"/>
    <col min="9477" max="9730" width="8.88671875" style="12"/>
    <col min="9731" max="9731" width="4.33203125" style="12" customWidth="1"/>
    <col min="9732" max="9732" width="23.77734375" style="12" customWidth="1"/>
    <col min="9733" max="9986" width="8.88671875" style="12"/>
    <col min="9987" max="9987" width="4.33203125" style="12" customWidth="1"/>
    <col min="9988" max="9988" width="23.77734375" style="12" customWidth="1"/>
    <col min="9989" max="10242" width="8.88671875" style="12"/>
    <col min="10243" max="10243" width="4.33203125" style="12" customWidth="1"/>
    <col min="10244" max="10244" width="23.77734375" style="12" customWidth="1"/>
    <col min="10245" max="10498" width="8.88671875" style="12"/>
    <col min="10499" max="10499" width="4.33203125" style="12" customWidth="1"/>
    <col min="10500" max="10500" width="23.77734375" style="12" customWidth="1"/>
    <col min="10501" max="10754" width="8.88671875" style="12"/>
    <col min="10755" max="10755" width="4.33203125" style="12" customWidth="1"/>
    <col min="10756" max="10756" width="23.77734375" style="12" customWidth="1"/>
    <col min="10757" max="11010" width="8.88671875" style="12"/>
    <col min="11011" max="11011" width="4.33203125" style="12" customWidth="1"/>
    <col min="11012" max="11012" width="23.77734375" style="12" customWidth="1"/>
    <col min="11013" max="11266" width="8.88671875" style="12"/>
    <col min="11267" max="11267" width="4.33203125" style="12" customWidth="1"/>
    <col min="11268" max="11268" width="23.77734375" style="12" customWidth="1"/>
    <col min="11269" max="11522" width="8.88671875" style="12"/>
    <col min="11523" max="11523" width="4.33203125" style="12" customWidth="1"/>
    <col min="11524" max="11524" width="23.77734375" style="12" customWidth="1"/>
    <col min="11525" max="11778" width="8.88671875" style="12"/>
    <col min="11779" max="11779" width="4.33203125" style="12" customWidth="1"/>
    <col min="11780" max="11780" width="23.77734375" style="12" customWidth="1"/>
    <col min="11781" max="12034" width="8.88671875" style="12"/>
    <col min="12035" max="12035" width="4.33203125" style="12" customWidth="1"/>
    <col min="12036" max="12036" width="23.77734375" style="12" customWidth="1"/>
    <col min="12037" max="12290" width="8.88671875" style="12"/>
    <col min="12291" max="12291" width="4.33203125" style="12" customWidth="1"/>
    <col min="12292" max="12292" width="23.77734375" style="12" customWidth="1"/>
    <col min="12293" max="12546" width="8.88671875" style="12"/>
    <col min="12547" max="12547" width="4.33203125" style="12" customWidth="1"/>
    <col min="12548" max="12548" width="23.77734375" style="12" customWidth="1"/>
    <col min="12549" max="12802" width="8.88671875" style="12"/>
    <col min="12803" max="12803" width="4.33203125" style="12" customWidth="1"/>
    <col min="12804" max="12804" width="23.77734375" style="12" customWidth="1"/>
    <col min="12805" max="13058" width="8.88671875" style="12"/>
    <col min="13059" max="13059" width="4.33203125" style="12" customWidth="1"/>
    <col min="13060" max="13060" width="23.77734375" style="12" customWidth="1"/>
    <col min="13061" max="13314" width="8.88671875" style="12"/>
    <col min="13315" max="13315" width="4.33203125" style="12" customWidth="1"/>
    <col min="13316" max="13316" width="23.77734375" style="12" customWidth="1"/>
    <col min="13317" max="13570" width="8.88671875" style="12"/>
    <col min="13571" max="13571" width="4.33203125" style="12" customWidth="1"/>
    <col min="13572" max="13572" width="23.77734375" style="12" customWidth="1"/>
    <col min="13573" max="13826" width="8.88671875" style="12"/>
    <col min="13827" max="13827" width="4.33203125" style="12" customWidth="1"/>
    <col min="13828" max="13828" width="23.77734375" style="12" customWidth="1"/>
    <col min="13829" max="14082" width="8.88671875" style="12"/>
    <col min="14083" max="14083" width="4.33203125" style="12" customWidth="1"/>
    <col min="14084" max="14084" width="23.77734375" style="12" customWidth="1"/>
    <col min="14085" max="14338" width="8.88671875" style="12"/>
    <col min="14339" max="14339" width="4.33203125" style="12" customWidth="1"/>
    <col min="14340" max="14340" width="23.77734375" style="12" customWidth="1"/>
    <col min="14341" max="14594" width="8.88671875" style="12"/>
    <col min="14595" max="14595" width="4.33203125" style="12" customWidth="1"/>
    <col min="14596" max="14596" width="23.77734375" style="12" customWidth="1"/>
    <col min="14597" max="14850" width="8.88671875" style="12"/>
    <col min="14851" max="14851" width="4.33203125" style="12" customWidth="1"/>
    <col min="14852" max="14852" width="23.77734375" style="12" customWidth="1"/>
    <col min="14853" max="15106" width="8.88671875" style="12"/>
    <col min="15107" max="15107" width="4.33203125" style="12" customWidth="1"/>
    <col min="15108" max="15108" width="23.77734375" style="12" customWidth="1"/>
    <col min="15109" max="15362" width="8.88671875" style="12"/>
    <col min="15363" max="15363" width="4.33203125" style="12" customWidth="1"/>
    <col min="15364" max="15364" width="23.77734375" style="12" customWidth="1"/>
    <col min="15365" max="15618" width="8.88671875" style="12"/>
    <col min="15619" max="15619" width="4.33203125" style="12" customWidth="1"/>
    <col min="15620" max="15620" width="23.77734375" style="12" customWidth="1"/>
    <col min="15621" max="15874" width="8.88671875" style="12"/>
    <col min="15875" max="15875" width="4.33203125" style="12" customWidth="1"/>
    <col min="15876" max="15876" width="23.77734375" style="12" customWidth="1"/>
    <col min="15877" max="16130" width="8.88671875" style="12"/>
    <col min="16131" max="16131" width="4.33203125" style="12" customWidth="1"/>
    <col min="16132" max="16132" width="23.77734375" style="12" customWidth="1"/>
    <col min="16133" max="16384" width="8.88671875" style="12"/>
  </cols>
  <sheetData>
    <row r="1" spans="1:46" s="2" customFormat="1" ht="37.049999999999997" customHeight="1" x14ac:dyDescent="0.3">
      <c r="C1" s="19" t="s">
        <v>3058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46" s="15" customFormat="1" ht="22.2" customHeight="1" x14ac:dyDescent="0.3">
      <c r="A2" s="13"/>
      <c r="B2" s="13" t="s">
        <v>2196</v>
      </c>
      <c r="C2" s="13" t="s">
        <v>10</v>
      </c>
      <c r="D2" s="14" t="s">
        <v>3056</v>
      </c>
      <c r="E2" s="14" t="s">
        <v>2197</v>
      </c>
      <c r="F2" s="14" t="s">
        <v>2198</v>
      </c>
      <c r="G2" s="14" t="s">
        <v>2199</v>
      </c>
      <c r="H2" s="14" t="s">
        <v>2200</v>
      </c>
      <c r="I2" s="14" t="s">
        <v>2201</v>
      </c>
      <c r="J2" s="14" t="s">
        <v>2202</v>
      </c>
      <c r="K2" s="14" t="s">
        <v>2203</v>
      </c>
      <c r="L2" s="14" t="s">
        <v>2204</v>
      </c>
      <c r="M2" s="14" t="s">
        <v>2205</v>
      </c>
      <c r="N2" s="14" t="s">
        <v>2206</v>
      </c>
      <c r="O2" s="14" t="s">
        <v>2207</v>
      </c>
      <c r="P2" s="14" t="s">
        <v>2208</v>
      </c>
      <c r="Q2" s="14" t="s">
        <v>2209</v>
      </c>
      <c r="R2" s="14" t="s">
        <v>4</v>
      </c>
      <c r="S2" s="14" t="s">
        <v>2210</v>
      </c>
      <c r="T2" s="14" t="s">
        <v>2211</v>
      </c>
      <c r="U2" s="14" t="s">
        <v>2212</v>
      </c>
      <c r="V2" s="13" t="s">
        <v>2213</v>
      </c>
      <c r="W2" s="13" t="s">
        <v>2214</v>
      </c>
      <c r="X2" s="13" t="s">
        <v>2215</v>
      </c>
      <c r="Y2" s="13" t="s">
        <v>2216</v>
      </c>
      <c r="Z2" s="13" t="s">
        <v>2217</v>
      </c>
      <c r="AA2" s="13" t="s">
        <v>2218</v>
      </c>
      <c r="AB2" s="13" t="s">
        <v>2219</v>
      </c>
      <c r="AC2" s="13" t="s">
        <v>2220</v>
      </c>
      <c r="AD2" s="13" t="s">
        <v>2221</v>
      </c>
      <c r="AE2" s="13" t="s">
        <v>2222</v>
      </c>
      <c r="AF2" s="13" t="s">
        <v>21</v>
      </c>
      <c r="AG2" s="13" t="s">
        <v>2223</v>
      </c>
      <c r="AH2" s="13" t="s">
        <v>22</v>
      </c>
      <c r="AI2" s="13" t="s">
        <v>2224</v>
      </c>
      <c r="AJ2" s="13" t="s">
        <v>2225</v>
      </c>
      <c r="AK2" s="13" t="s">
        <v>2226</v>
      </c>
      <c r="AL2" s="13" t="s">
        <v>2227</v>
      </c>
      <c r="AM2" s="13" t="s">
        <v>2228</v>
      </c>
      <c r="AN2" s="13" t="s">
        <v>2229</v>
      </c>
      <c r="AO2" s="13" t="s">
        <v>2230</v>
      </c>
      <c r="AP2" s="13" t="s">
        <v>2231</v>
      </c>
      <c r="AQ2" s="13" t="s">
        <v>2232</v>
      </c>
      <c r="AR2" s="13" t="s">
        <v>2233</v>
      </c>
      <c r="AS2" s="13" t="s">
        <v>2234</v>
      </c>
      <c r="AT2" s="13" t="s">
        <v>2235</v>
      </c>
    </row>
    <row r="3" spans="1:46" ht="37.049999999999997" customHeight="1" x14ac:dyDescent="0.3">
      <c r="A3" s="16" t="s">
        <v>2432</v>
      </c>
      <c r="B3" s="16" t="s">
        <v>2433</v>
      </c>
      <c r="C3" s="16" t="s">
        <v>2237</v>
      </c>
      <c r="D3" s="17" t="s">
        <v>2434</v>
      </c>
      <c r="E3" s="17"/>
      <c r="F3" s="17" t="s">
        <v>2435</v>
      </c>
      <c r="G3" s="17"/>
      <c r="H3" s="17" t="s">
        <v>2238</v>
      </c>
      <c r="I3" s="17" t="s">
        <v>2239</v>
      </c>
      <c r="J3" s="17" t="s">
        <v>2365</v>
      </c>
      <c r="K3" s="17" t="s">
        <v>2241</v>
      </c>
      <c r="L3" s="17"/>
      <c r="M3" s="17"/>
      <c r="N3" s="17" t="s">
        <v>2252</v>
      </c>
      <c r="O3" s="17"/>
      <c r="P3" s="17" t="s">
        <v>2253</v>
      </c>
      <c r="Q3" s="17" t="s">
        <v>2254</v>
      </c>
      <c r="R3" s="17"/>
      <c r="S3" s="17" t="s">
        <v>2436</v>
      </c>
      <c r="T3" s="17"/>
      <c r="U3" s="17" t="s">
        <v>2437</v>
      </c>
      <c r="V3" s="16"/>
      <c r="W3" s="16" t="s">
        <v>2244</v>
      </c>
      <c r="X3" s="16"/>
      <c r="Y3" s="16"/>
      <c r="Z3" s="16"/>
      <c r="AA3" s="16"/>
      <c r="AB3" s="16"/>
      <c r="AC3" s="16"/>
      <c r="AD3" s="16"/>
      <c r="AE3" s="16"/>
      <c r="AF3" s="16" t="s">
        <v>2370</v>
      </c>
      <c r="AG3" s="16"/>
      <c r="AH3" s="16"/>
      <c r="AI3" s="16" t="s">
        <v>2371</v>
      </c>
      <c r="AJ3" s="16"/>
      <c r="AK3" s="16"/>
      <c r="AL3" s="16"/>
      <c r="AM3" s="16"/>
      <c r="AN3" s="16"/>
      <c r="AO3" s="16"/>
      <c r="AP3" s="16"/>
      <c r="AQ3" s="16"/>
      <c r="AR3" s="16"/>
      <c r="AS3" s="16" t="s">
        <v>2246</v>
      </c>
      <c r="AT3" s="16" t="s">
        <v>2438</v>
      </c>
    </row>
    <row r="4" spans="1:46" ht="37.049999999999997" customHeight="1" x14ac:dyDescent="0.3">
      <c r="A4" s="16" t="s">
        <v>2426</v>
      </c>
      <c r="B4" s="16" t="s">
        <v>2427</v>
      </c>
      <c r="C4" s="16" t="s">
        <v>2237</v>
      </c>
      <c r="D4" s="17" t="s">
        <v>2428</v>
      </c>
      <c r="E4" s="17"/>
      <c r="F4" s="17" t="s">
        <v>2429</v>
      </c>
      <c r="G4" s="17"/>
      <c r="H4" s="17" t="s">
        <v>2238</v>
      </c>
      <c r="I4" s="17" t="s">
        <v>2239</v>
      </c>
      <c r="J4" s="17" t="s">
        <v>2365</v>
      </c>
      <c r="K4" s="17" t="s">
        <v>2366</v>
      </c>
      <c r="L4" s="17"/>
      <c r="M4" s="17"/>
      <c r="N4" s="17" t="s">
        <v>2389</v>
      </c>
      <c r="O4" s="17"/>
      <c r="P4" s="17" t="s">
        <v>2253</v>
      </c>
      <c r="Q4" s="17" t="s">
        <v>2254</v>
      </c>
      <c r="R4" s="17"/>
      <c r="S4" s="17" t="s">
        <v>2430</v>
      </c>
      <c r="T4" s="17"/>
      <c r="U4" s="17" t="s">
        <v>2431</v>
      </c>
      <c r="V4" s="16"/>
      <c r="W4" s="16" t="s">
        <v>2244</v>
      </c>
      <c r="X4" s="16"/>
      <c r="Y4" s="16"/>
      <c r="Z4" s="16"/>
      <c r="AA4" s="16"/>
      <c r="AB4" s="16"/>
      <c r="AC4" s="16"/>
      <c r="AD4" s="16"/>
      <c r="AE4" s="16"/>
      <c r="AF4" s="16" t="s">
        <v>2370</v>
      </c>
      <c r="AG4" s="16"/>
      <c r="AH4" s="16"/>
      <c r="AI4" s="16" t="s">
        <v>2371</v>
      </c>
      <c r="AJ4" s="16"/>
      <c r="AK4" s="16"/>
      <c r="AL4" s="16"/>
      <c r="AM4" s="16"/>
      <c r="AN4" s="16"/>
      <c r="AO4" s="16"/>
      <c r="AP4" s="16"/>
      <c r="AQ4" s="16"/>
      <c r="AR4" s="16"/>
      <c r="AS4" s="16" t="s">
        <v>2246</v>
      </c>
      <c r="AT4" s="16" t="s">
        <v>2392</v>
      </c>
    </row>
    <row r="5" spans="1:46" ht="37.049999999999997" customHeight="1" x14ac:dyDescent="0.3">
      <c r="A5" s="16" t="s">
        <v>2410</v>
      </c>
      <c r="B5" s="16" t="s">
        <v>2411</v>
      </c>
      <c r="C5" s="16" t="s">
        <v>2237</v>
      </c>
      <c r="D5" s="17" t="s">
        <v>2412</v>
      </c>
      <c r="E5" s="17"/>
      <c r="F5" s="17" t="s">
        <v>2413</v>
      </c>
      <c r="G5" s="17"/>
      <c r="H5" s="17" t="s">
        <v>2238</v>
      </c>
      <c r="I5" s="17" t="s">
        <v>2239</v>
      </c>
      <c r="J5" s="17" t="s">
        <v>2365</v>
      </c>
      <c r="K5" s="17" t="s">
        <v>2366</v>
      </c>
      <c r="L5" s="17"/>
      <c r="M5" s="17"/>
      <c r="N5" s="17" t="s">
        <v>2389</v>
      </c>
      <c r="O5" s="17"/>
      <c r="P5" s="17" t="s">
        <v>2253</v>
      </c>
      <c r="Q5" s="17" t="s">
        <v>2254</v>
      </c>
      <c r="R5" s="17"/>
      <c r="S5" s="17" t="s">
        <v>2414</v>
      </c>
      <c r="T5" s="17"/>
      <c r="U5" s="17" t="s">
        <v>2415</v>
      </c>
      <c r="V5" s="16"/>
      <c r="W5" s="16" t="s">
        <v>2244</v>
      </c>
      <c r="X5" s="16"/>
      <c r="Y5" s="16"/>
      <c r="Z5" s="16"/>
      <c r="AA5" s="16"/>
      <c r="AB5" s="16"/>
      <c r="AC5" s="16"/>
      <c r="AD5" s="16"/>
      <c r="AE5" s="16"/>
      <c r="AF5" s="16" t="s">
        <v>2370</v>
      </c>
      <c r="AG5" s="16"/>
      <c r="AH5" s="16"/>
      <c r="AI5" s="16" t="s">
        <v>2371</v>
      </c>
      <c r="AJ5" s="16"/>
      <c r="AK5" s="16"/>
      <c r="AL5" s="16"/>
      <c r="AM5" s="16"/>
      <c r="AN5" s="16"/>
      <c r="AO5" s="16"/>
      <c r="AP5" s="16"/>
      <c r="AQ5" s="16"/>
      <c r="AR5" s="16"/>
      <c r="AS5" s="16" t="s">
        <v>2246</v>
      </c>
      <c r="AT5" s="16" t="s">
        <v>2392</v>
      </c>
    </row>
    <row r="6" spans="1:46" ht="37.049999999999997" customHeight="1" x14ac:dyDescent="0.3">
      <c r="A6" s="16" t="s">
        <v>2316</v>
      </c>
      <c r="B6" s="16" t="s">
        <v>2317</v>
      </c>
      <c r="C6" s="16" t="s">
        <v>2237</v>
      </c>
      <c r="D6" s="17" t="s">
        <v>2318</v>
      </c>
      <c r="E6" s="17"/>
      <c r="F6" s="17" t="s">
        <v>2319</v>
      </c>
      <c r="G6" s="17"/>
      <c r="H6" s="17" t="s">
        <v>2304</v>
      </c>
      <c r="I6" s="17" t="s">
        <v>2305</v>
      </c>
      <c r="J6" s="17" t="s">
        <v>2306</v>
      </c>
      <c r="K6" s="17" t="s">
        <v>2241</v>
      </c>
      <c r="L6" s="17"/>
      <c r="M6" s="17"/>
      <c r="N6" s="17" t="s">
        <v>2320</v>
      </c>
      <c r="O6" s="17"/>
      <c r="P6" s="17" t="s">
        <v>2273</v>
      </c>
      <c r="Q6" s="17" t="s">
        <v>2307</v>
      </c>
      <c r="R6" s="17"/>
      <c r="S6" s="17"/>
      <c r="T6" s="17" t="s">
        <v>2321</v>
      </c>
      <c r="U6" s="17" t="s">
        <v>2322</v>
      </c>
      <c r="V6" s="16"/>
      <c r="W6" s="16" t="s">
        <v>2244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 t="s">
        <v>2309</v>
      </c>
      <c r="AJ6" s="16"/>
      <c r="AK6" s="16"/>
      <c r="AL6" s="16"/>
      <c r="AM6" s="16"/>
      <c r="AN6" s="16"/>
      <c r="AO6" s="16"/>
      <c r="AP6" s="16"/>
      <c r="AQ6" s="16"/>
      <c r="AR6" s="16"/>
      <c r="AS6" s="16" t="s">
        <v>2246</v>
      </c>
      <c r="AT6" s="16" t="s">
        <v>2279</v>
      </c>
    </row>
    <row r="7" spans="1:46" ht="37.049999999999997" customHeight="1" x14ac:dyDescent="0.3">
      <c r="A7" s="16" t="s">
        <v>2385</v>
      </c>
      <c r="B7" s="16" t="s">
        <v>2386</v>
      </c>
      <c r="C7" s="16" t="s">
        <v>2237</v>
      </c>
      <c r="D7" s="17" t="s">
        <v>2387</v>
      </c>
      <c r="E7" s="17"/>
      <c r="F7" s="17" t="s">
        <v>2388</v>
      </c>
      <c r="G7" s="17"/>
      <c r="H7" s="17" t="s">
        <v>2238</v>
      </c>
      <c r="I7" s="17" t="s">
        <v>2239</v>
      </c>
      <c r="J7" s="17" t="s">
        <v>2365</v>
      </c>
      <c r="K7" s="17" t="s">
        <v>2366</v>
      </c>
      <c r="L7" s="17"/>
      <c r="M7" s="17"/>
      <c r="N7" s="17" t="s">
        <v>2389</v>
      </c>
      <c r="O7" s="17"/>
      <c r="P7" s="17" t="s">
        <v>2253</v>
      </c>
      <c r="Q7" s="17" t="s">
        <v>2254</v>
      </c>
      <c r="R7" s="17"/>
      <c r="S7" s="17" t="s">
        <v>2390</v>
      </c>
      <c r="T7" s="17"/>
      <c r="U7" s="17" t="s">
        <v>2391</v>
      </c>
      <c r="V7" s="16"/>
      <c r="W7" s="16" t="s">
        <v>2244</v>
      </c>
      <c r="X7" s="16"/>
      <c r="Y7" s="16"/>
      <c r="Z7" s="16"/>
      <c r="AA7" s="16"/>
      <c r="AB7" s="16"/>
      <c r="AC7" s="16"/>
      <c r="AD7" s="16"/>
      <c r="AE7" s="16"/>
      <c r="AF7" s="16" t="s">
        <v>2370</v>
      </c>
      <c r="AG7" s="16"/>
      <c r="AH7" s="16"/>
      <c r="AI7" s="16" t="s">
        <v>2371</v>
      </c>
      <c r="AJ7" s="16"/>
      <c r="AK7" s="16"/>
      <c r="AL7" s="16"/>
      <c r="AM7" s="16"/>
      <c r="AN7" s="16"/>
      <c r="AO7" s="16"/>
      <c r="AP7" s="16"/>
      <c r="AQ7" s="16"/>
      <c r="AR7" s="16"/>
      <c r="AS7" s="16" t="s">
        <v>2246</v>
      </c>
      <c r="AT7" s="16" t="s">
        <v>2392</v>
      </c>
    </row>
    <row r="8" spans="1:46" ht="37.049999999999997" customHeight="1" x14ac:dyDescent="0.3">
      <c r="A8" s="16" t="s">
        <v>2393</v>
      </c>
      <c r="B8" s="16" t="s">
        <v>2898</v>
      </c>
      <c r="C8" s="16" t="s">
        <v>2237</v>
      </c>
      <c r="D8" s="17" t="s">
        <v>2899</v>
      </c>
      <c r="E8" s="17"/>
      <c r="F8" s="17" t="s">
        <v>2900</v>
      </c>
      <c r="G8" s="17"/>
      <c r="H8" s="17"/>
      <c r="I8" s="17" t="s">
        <v>2239</v>
      </c>
      <c r="J8" s="17" t="s">
        <v>2466</v>
      </c>
      <c r="K8" s="17"/>
      <c r="L8" s="17"/>
      <c r="M8" s="17"/>
      <c r="N8" s="17" t="s">
        <v>2389</v>
      </c>
      <c r="O8" s="17"/>
      <c r="P8" s="17" t="s">
        <v>2467</v>
      </c>
      <c r="Q8" s="17"/>
      <c r="R8" s="17" t="s">
        <v>2468</v>
      </c>
      <c r="S8" s="17" t="s">
        <v>2901</v>
      </c>
      <c r="T8" s="17"/>
      <c r="U8" s="17" t="s">
        <v>2902</v>
      </c>
      <c r="V8" s="16" t="s">
        <v>2469</v>
      </c>
      <c r="W8" s="16" t="s">
        <v>2244</v>
      </c>
      <c r="X8" s="16" t="s">
        <v>2236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 t="s">
        <v>2470</v>
      </c>
    </row>
    <row r="9" spans="1:46" ht="37.049999999999997" customHeight="1" x14ac:dyDescent="0.3">
      <c r="A9" s="16" t="s">
        <v>2393</v>
      </c>
      <c r="B9" s="16" t="s">
        <v>2394</v>
      </c>
      <c r="C9" s="16" t="s">
        <v>2237</v>
      </c>
      <c r="D9" s="17" t="s">
        <v>2395</v>
      </c>
      <c r="E9" s="17"/>
      <c r="F9" s="17" t="s">
        <v>2396</v>
      </c>
      <c r="G9" s="17"/>
      <c r="H9" s="17" t="s">
        <v>2238</v>
      </c>
      <c r="I9" s="17" t="s">
        <v>2239</v>
      </c>
      <c r="J9" s="17" t="s">
        <v>2365</v>
      </c>
      <c r="K9" s="17" t="s">
        <v>2241</v>
      </c>
      <c r="L9" s="17"/>
      <c r="M9" s="17"/>
      <c r="N9" s="17" t="s">
        <v>2264</v>
      </c>
      <c r="O9" s="17"/>
      <c r="P9" s="17" t="s">
        <v>2253</v>
      </c>
      <c r="Q9" s="17" t="s">
        <v>2254</v>
      </c>
      <c r="R9" s="17"/>
      <c r="S9" s="17" t="s">
        <v>2397</v>
      </c>
      <c r="T9" s="17"/>
      <c r="U9" s="17" t="s">
        <v>2398</v>
      </c>
      <c r="V9" s="16"/>
      <c r="W9" s="16" t="s">
        <v>2244</v>
      </c>
      <c r="X9" s="16"/>
      <c r="Y9" s="16"/>
      <c r="Z9" s="16"/>
      <c r="AA9" s="16"/>
      <c r="AB9" s="16"/>
      <c r="AC9" s="16"/>
      <c r="AD9" s="16"/>
      <c r="AE9" s="16"/>
      <c r="AF9" s="16" t="s">
        <v>2370</v>
      </c>
      <c r="AG9" s="16"/>
      <c r="AH9" s="16"/>
      <c r="AI9" s="16" t="s">
        <v>2371</v>
      </c>
      <c r="AJ9" s="16"/>
      <c r="AK9" s="16"/>
      <c r="AL9" s="16"/>
      <c r="AM9" s="16"/>
      <c r="AN9" s="16"/>
      <c r="AO9" s="16"/>
      <c r="AP9" s="16"/>
      <c r="AQ9" s="16"/>
      <c r="AR9" s="16"/>
      <c r="AS9" s="16" t="s">
        <v>2246</v>
      </c>
      <c r="AT9" s="16" t="s">
        <v>2355</v>
      </c>
    </row>
    <row r="10" spans="1:46" ht="65.400000000000006" customHeight="1" x14ac:dyDescent="0.3">
      <c r="A10" s="16" t="s">
        <v>2605</v>
      </c>
      <c r="B10" s="16" t="s">
        <v>2606</v>
      </c>
      <c r="C10" s="16" t="s">
        <v>2237</v>
      </c>
      <c r="D10" s="17" t="s">
        <v>2607</v>
      </c>
      <c r="E10" s="17"/>
      <c r="F10" s="17" t="s">
        <v>2608</v>
      </c>
      <c r="G10" s="17"/>
      <c r="H10" s="17" t="s">
        <v>2238</v>
      </c>
      <c r="I10" s="17" t="s">
        <v>2239</v>
      </c>
      <c r="J10" s="17" t="s">
        <v>2508</v>
      </c>
      <c r="K10" s="17"/>
      <c r="L10" s="17"/>
      <c r="M10" s="17"/>
      <c r="N10" s="17" t="s">
        <v>2609</v>
      </c>
      <c r="O10" s="17"/>
      <c r="P10" s="17" t="s">
        <v>2610</v>
      </c>
      <c r="Q10" s="17" t="s">
        <v>2510</v>
      </c>
      <c r="R10" s="17" t="s">
        <v>2611</v>
      </c>
      <c r="S10" s="17" t="s">
        <v>2612</v>
      </c>
      <c r="T10" s="17"/>
      <c r="U10" s="17" t="s">
        <v>2613</v>
      </c>
      <c r="V10" s="16" t="s">
        <v>2569</v>
      </c>
      <c r="W10" s="16" t="s">
        <v>2244</v>
      </c>
      <c r="X10" s="16" t="s">
        <v>2614</v>
      </c>
      <c r="Y10" s="16"/>
      <c r="Z10" s="16"/>
      <c r="AA10" s="16"/>
      <c r="AB10" s="16"/>
      <c r="AC10" s="16"/>
      <c r="AD10" s="16"/>
      <c r="AE10" s="16"/>
      <c r="AF10" s="16" t="s">
        <v>2615</v>
      </c>
      <c r="AG10" s="16"/>
      <c r="AH10" s="16"/>
      <c r="AI10" s="16" t="s">
        <v>2616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 t="s">
        <v>2246</v>
      </c>
      <c r="AT10" s="16" t="s">
        <v>2617</v>
      </c>
    </row>
    <row r="11" spans="1:46" ht="37.049999999999997" customHeight="1" x14ac:dyDescent="0.3">
      <c r="A11" s="16" t="s">
        <v>2293</v>
      </c>
      <c r="B11" s="16" t="s">
        <v>2995</v>
      </c>
      <c r="C11" s="16" t="s">
        <v>2237</v>
      </c>
      <c r="D11" s="17" t="s">
        <v>2996</v>
      </c>
      <c r="E11" s="17"/>
      <c r="F11" s="17" t="s">
        <v>2997</v>
      </c>
      <c r="G11" s="17"/>
      <c r="H11" s="17" t="s">
        <v>2304</v>
      </c>
      <c r="I11" s="17" t="s">
        <v>2305</v>
      </c>
      <c r="J11" s="17" t="s">
        <v>2306</v>
      </c>
      <c r="K11" s="17" t="s">
        <v>2241</v>
      </c>
      <c r="L11" s="17"/>
      <c r="M11" s="17"/>
      <c r="N11" s="17" t="s">
        <v>2272</v>
      </c>
      <c r="O11" s="17"/>
      <c r="P11" s="17" t="s">
        <v>2273</v>
      </c>
      <c r="Q11" s="17" t="s">
        <v>2307</v>
      </c>
      <c r="R11" s="17"/>
      <c r="S11" s="17"/>
      <c r="T11" s="17" t="s">
        <v>2998</v>
      </c>
      <c r="U11" s="17" t="s">
        <v>2999</v>
      </c>
      <c r="V11" s="16"/>
      <c r="W11" s="16" t="s">
        <v>2244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2309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2246</v>
      </c>
      <c r="AT11" s="16" t="s">
        <v>2279</v>
      </c>
    </row>
    <row r="12" spans="1:46" ht="37.049999999999997" customHeight="1" x14ac:dyDescent="0.3">
      <c r="A12" s="16" t="s">
        <v>2310</v>
      </c>
      <c r="B12" s="16" t="s">
        <v>3035</v>
      </c>
      <c r="C12" s="16" t="s">
        <v>2237</v>
      </c>
      <c r="D12" s="17" t="s">
        <v>3036</v>
      </c>
      <c r="E12" s="17"/>
      <c r="F12" s="17" t="s">
        <v>3037</v>
      </c>
      <c r="G12" s="17"/>
      <c r="H12" s="17"/>
      <c r="I12" s="17" t="s">
        <v>2239</v>
      </c>
      <c r="J12" s="17" t="s">
        <v>2881</v>
      </c>
      <c r="K12" s="17"/>
      <c r="L12" s="17"/>
      <c r="M12" s="17"/>
      <c r="N12" s="17"/>
      <c r="O12" s="17"/>
      <c r="P12" s="17" t="s">
        <v>2242</v>
      </c>
      <c r="Q12" s="17"/>
      <c r="R12" s="17" t="s">
        <v>2882</v>
      </c>
      <c r="S12" s="17" t="s">
        <v>3038</v>
      </c>
      <c r="T12" s="17"/>
      <c r="U12" s="17" t="s">
        <v>3039</v>
      </c>
      <c r="V12" s="16" t="s">
        <v>2478</v>
      </c>
      <c r="W12" s="16" t="s">
        <v>2244</v>
      </c>
      <c r="X12" s="16"/>
      <c r="Y12" s="16"/>
      <c r="Z12" s="16"/>
      <c r="AA12" s="16"/>
      <c r="AB12" s="16"/>
      <c r="AC12" s="16"/>
      <c r="AD12" s="16"/>
      <c r="AE12" s="16"/>
      <c r="AF12" s="16" t="s">
        <v>2245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 t="s">
        <v>2246</v>
      </c>
      <c r="AT12" s="16" t="s">
        <v>2883</v>
      </c>
    </row>
    <row r="13" spans="1:46" ht="37.049999999999997" customHeight="1" x14ac:dyDescent="0.3">
      <c r="A13" s="16" t="s">
        <v>2267</v>
      </c>
      <c r="B13" s="16" t="s">
        <v>2268</v>
      </c>
      <c r="C13" s="16" t="s">
        <v>2237</v>
      </c>
      <c r="D13" s="17" t="s">
        <v>2269</v>
      </c>
      <c r="E13" s="17"/>
      <c r="F13" s="17" t="s">
        <v>2270</v>
      </c>
      <c r="G13" s="17"/>
      <c r="H13" s="17" t="s">
        <v>2238</v>
      </c>
      <c r="I13" s="17" t="s">
        <v>2239</v>
      </c>
      <c r="J13" s="17" t="s">
        <v>2271</v>
      </c>
      <c r="K13" s="17" t="s">
        <v>2241</v>
      </c>
      <c r="L13" s="17"/>
      <c r="M13" s="17"/>
      <c r="N13" s="17" t="s">
        <v>2272</v>
      </c>
      <c r="O13" s="17"/>
      <c r="P13" s="17" t="s">
        <v>2273</v>
      </c>
      <c r="Q13" s="17" t="s">
        <v>2274</v>
      </c>
      <c r="R13" s="17"/>
      <c r="S13" s="17"/>
      <c r="T13" s="17" t="s">
        <v>2275</v>
      </c>
      <c r="U13" s="17" t="s">
        <v>2276</v>
      </c>
      <c r="V13" s="16"/>
      <c r="W13" s="16" t="s">
        <v>2244</v>
      </c>
      <c r="X13" s="16"/>
      <c r="Y13" s="16"/>
      <c r="Z13" s="16"/>
      <c r="AA13" s="16"/>
      <c r="AB13" s="16"/>
      <c r="AC13" s="16"/>
      <c r="AD13" s="16"/>
      <c r="AE13" s="16"/>
      <c r="AF13" s="16" t="s">
        <v>2277</v>
      </c>
      <c r="AG13" s="16"/>
      <c r="AH13" s="16"/>
      <c r="AI13" s="16" t="s">
        <v>2278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 t="s">
        <v>2246</v>
      </c>
      <c r="AT13" s="16" t="s">
        <v>2279</v>
      </c>
    </row>
    <row r="14" spans="1:46" ht="37.049999999999997" customHeight="1" x14ac:dyDescent="0.3">
      <c r="A14" s="16" t="s">
        <v>2618</v>
      </c>
      <c r="B14" s="16" t="s">
        <v>2619</v>
      </c>
      <c r="C14" s="16" t="s">
        <v>2237</v>
      </c>
      <c r="D14" s="17" t="s">
        <v>2620</v>
      </c>
      <c r="E14" s="17"/>
      <c r="F14" s="17" t="s">
        <v>2621</v>
      </c>
      <c r="G14" s="17"/>
      <c r="H14" s="17" t="s">
        <v>2238</v>
      </c>
      <c r="I14" s="17" t="s">
        <v>2239</v>
      </c>
      <c r="J14" s="17" t="s">
        <v>2508</v>
      </c>
      <c r="K14" s="17"/>
      <c r="L14" s="17"/>
      <c r="M14" s="17"/>
      <c r="N14" s="17" t="s">
        <v>2609</v>
      </c>
      <c r="O14" s="17"/>
      <c r="P14" s="17" t="s">
        <v>2610</v>
      </c>
      <c r="Q14" s="17" t="s">
        <v>2510</v>
      </c>
      <c r="R14" s="17" t="s">
        <v>2622</v>
      </c>
      <c r="S14" s="17"/>
      <c r="T14" s="17"/>
      <c r="U14" s="17" t="s">
        <v>2623</v>
      </c>
      <c r="V14" s="16" t="s">
        <v>2569</v>
      </c>
      <c r="W14" s="16" t="s">
        <v>2244</v>
      </c>
      <c r="X14" s="16"/>
      <c r="Y14" s="16"/>
      <c r="Z14" s="16"/>
      <c r="AA14" s="16"/>
      <c r="AB14" s="16"/>
      <c r="AC14" s="16"/>
      <c r="AD14" s="16"/>
      <c r="AE14" s="16"/>
      <c r="AF14" s="16" t="s">
        <v>2615</v>
      </c>
      <c r="AG14" s="16"/>
      <c r="AH14" s="16"/>
      <c r="AI14" s="16" t="s">
        <v>2616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 t="s">
        <v>2246</v>
      </c>
      <c r="AT14" s="16" t="s">
        <v>2617</v>
      </c>
    </row>
    <row r="15" spans="1:46" ht="37.049999999999997" customHeight="1" x14ac:dyDescent="0.3">
      <c r="A15" s="16" t="s">
        <v>2316</v>
      </c>
      <c r="B15" s="16" t="s">
        <v>3040</v>
      </c>
      <c r="C15" s="16" t="s">
        <v>2237</v>
      </c>
      <c r="D15" s="17" t="s">
        <v>3041</v>
      </c>
      <c r="E15" s="17"/>
      <c r="F15" s="17" t="s">
        <v>3042</v>
      </c>
      <c r="G15" s="17"/>
      <c r="H15" s="17" t="s">
        <v>2238</v>
      </c>
      <c r="I15" s="17" t="s">
        <v>2239</v>
      </c>
      <c r="J15" s="17" t="s">
        <v>2507</v>
      </c>
      <c r="K15" s="17" t="s">
        <v>2508</v>
      </c>
      <c r="L15" s="17"/>
      <c r="M15" s="17"/>
      <c r="N15" s="17" t="s">
        <v>2264</v>
      </c>
      <c r="O15" s="17"/>
      <c r="P15" s="17" t="s">
        <v>2509</v>
      </c>
      <c r="Q15" s="17" t="s">
        <v>2510</v>
      </c>
      <c r="R15" s="17" t="s">
        <v>3043</v>
      </c>
      <c r="S15" s="17" t="s">
        <v>3044</v>
      </c>
      <c r="T15" s="17"/>
      <c r="U15" s="17" t="s">
        <v>3045</v>
      </c>
      <c r="V15" s="16" t="s">
        <v>2909</v>
      </c>
      <c r="W15" s="16" t="s">
        <v>2244</v>
      </c>
      <c r="X15" s="16"/>
      <c r="Y15" s="16"/>
      <c r="Z15" s="16"/>
      <c r="AA15" s="16"/>
      <c r="AB15" s="16"/>
      <c r="AC15" s="16"/>
      <c r="AD15" s="16"/>
      <c r="AE15" s="16"/>
      <c r="AF15" s="16" t="s">
        <v>2515</v>
      </c>
      <c r="AG15" s="16"/>
      <c r="AH15" s="16"/>
      <c r="AI15" s="16" t="s">
        <v>2516</v>
      </c>
      <c r="AJ15" s="16" t="s">
        <v>2517</v>
      </c>
      <c r="AK15" s="16"/>
      <c r="AL15" s="16"/>
      <c r="AM15" s="16"/>
      <c r="AN15" s="16"/>
      <c r="AO15" s="16"/>
      <c r="AP15" s="16"/>
      <c r="AQ15" s="16"/>
      <c r="AR15" s="16"/>
      <c r="AS15" s="16" t="s">
        <v>2246</v>
      </c>
      <c r="AT15" s="16" t="s">
        <v>2518</v>
      </c>
    </row>
    <row r="16" spans="1:46" ht="37.049999999999997" customHeight="1" x14ac:dyDescent="0.3">
      <c r="A16" s="16" t="s">
        <v>2373</v>
      </c>
      <c r="B16" s="16" t="s">
        <v>2884</v>
      </c>
      <c r="C16" s="16" t="s">
        <v>2237</v>
      </c>
      <c r="D16" s="17" t="s">
        <v>2885</v>
      </c>
      <c r="E16" s="17"/>
      <c r="F16" s="17" t="s">
        <v>2886</v>
      </c>
      <c r="G16" s="17"/>
      <c r="H16" s="17"/>
      <c r="I16" s="17" t="s">
        <v>2239</v>
      </c>
      <c r="J16" s="17" t="s">
        <v>2881</v>
      </c>
      <c r="K16" s="17"/>
      <c r="L16" s="17"/>
      <c r="M16" s="17"/>
      <c r="N16" s="17"/>
      <c r="O16" s="17"/>
      <c r="P16" s="17" t="s">
        <v>2242</v>
      </c>
      <c r="Q16" s="17"/>
      <c r="R16" s="17" t="s">
        <v>2887</v>
      </c>
      <c r="S16" s="17" t="s">
        <v>2888</v>
      </c>
      <c r="T16" s="17"/>
      <c r="U16" s="17" t="s">
        <v>2889</v>
      </c>
      <c r="V16" s="16" t="s">
        <v>2890</v>
      </c>
      <c r="W16" s="16" t="s">
        <v>2244</v>
      </c>
      <c r="X16" s="16"/>
      <c r="Y16" s="16"/>
      <c r="Z16" s="16"/>
      <c r="AA16" s="16"/>
      <c r="AB16" s="16"/>
      <c r="AC16" s="16"/>
      <c r="AD16" s="16"/>
      <c r="AE16" s="16"/>
      <c r="AF16" s="16" t="s">
        <v>2245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 t="s">
        <v>2246</v>
      </c>
      <c r="AT16" s="16" t="s">
        <v>2883</v>
      </c>
    </row>
    <row r="17" spans="1:46" ht="37.049999999999997" customHeight="1" x14ac:dyDescent="0.3">
      <c r="A17" s="16" t="s">
        <v>2503</v>
      </c>
      <c r="B17" s="16" t="s">
        <v>2504</v>
      </c>
      <c r="C17" s="16" t="s">
        <v>2237</v>
      </c>
      <c r="D17" s="17" t="s">
        <v>2505</v>
      </c>
      <c r="E17" s="17"/>
      <c r="F17" s="17" t="s">
        <v>2506</v>
      </c>
      <c r="G17" s="17"/>
      <c r="H17" s="17" t="s">
        <v>2238</v>
      </c>
      <c r="I17" s="17" t="s">
        <v>2239</v>
      </c>
      <c r="J17" s="17" t="s">
        <v>2507</v>
      </c>
      <c r="K17" s="17" t="s">
        <v>2508</v>
      </c>
      <c r="L17" s="17"/>
      <c r="M17" s="17"/>
      <c r="N17" s="17" t="s">
        <v>2264</v>
      </c>
      <c r="O17" s="17"/>
      <c r="P17" s="17" t="s">
        <v>2509</v>
      </c>
      <c r="Q17" s="17" t="s">
        <v>2510</v>
      </c>
      <c r="R17" s="17" t="s">
        <v>2511</v>
      </c>
      <c r="S17" s="17" t="s">
        <v>2512</v>
      </c>
      <c r="T17" s="17"/>
      <c r="U17" s="17" t="s">
        <v>2513</v>
      </c>
      <c r="V17" s="16" t="s">
        <v>2514</v>
      </c>
      <c r="W17" s="16" t="s">
        <v>2244</v>
      </c>
      <c r="X17" s="16"/>
      <c r="Y17" s="16"/>
      <c r="Z17" s="16"/>
      <c r="AA17" s="16"/>
      <c r="AB17" s="16"/>
      <c r="AC17" s="16"/>
      <c r="AD17" s="16"/>
      <c r="AE17" s="16"/>
      <c r="AF17" s="16" t="s">
        <v>2515</v>
      </c>
      <c r="AG17" s="16"/>
      <c r="AH17" s="16"/>
      <c r="AI17" s="16" t="s">
        <v>2516</v>
      </c>
      <c r="AJ17" s="16" t="s">
        <v>2517</v>
      </c>
      <c r="AK17" s="16"/>
      <c r="AL17" s="16"/>
      <c r="AM17" s="16"/>
      <c r="AN17" s="16"/>
      <c r="AO17" s="16"/>
      <c r="AP17" s="16"/>
      <c r="AQ17" s="16"/>
      <c r="AR17" s="16"/>
      <c r="AS17" s="16" t="s">
        <v>2246</v>
      </c>
      <c r="AT17" s="16" t="s">
        <v>2518</v>
      </c>
    </row>
    <row r="18" spans="1:46" ht="37.049999999999997" customHeight="1" x14ac:dyDescent="0.3">
      <c r="A18" s="16" t="s">
        <v>2596</v>
      </c>
      <c r="B18" s="16" t="s">
        <v>2597</v>
      </c>
      <c r="C18" s="16" t="s">
        <v>2237</v>
      </c>
      <c r="D18" s="17" t="s">
        <v>2598</v>
      </c>
      <c r="E18" s="17"/>
      <c r="F18" s="17" t="s">
        <v>2599</v>
      </c>
      <c r="G18" s="17"/>
      <c r="H18" s="17" t="s">
        <v>2238</v>
      </c>
      <c r="I18" s="17" t="s">
        <v>2239</v>
      </c>
      <c r="J18" s="17" t="s">
        <v>2587</v>
      </c>
      <c r="K18" s="17"/>
      <c r="L18" s="17"/>
      <c r="M18" s="17"/>
      <c r="N18" s="17" t="s">
        <v>2588</v>
      </c>
      <c r="O18" s="17" t="s">
        <v>2272</v>
      </c>
      <c r="P18" s="17" t="s">
        <v>2564</v>
      </c>
      <c r="Q18" s="17" t="s">
        <v>2565</v>
      </c>
      <c r="R18" s="17" t="s">
        <v>2600</v>
      </c>
      <c r="S18" s="17" t="s">
        <v>2601</v>
      </c>
      <c r="T18" s="17"/>
      <c r="U18" s="17" t="s">
        <v>2602</v>
      </c>
      <c r="V18" s="16" t="s">
        <v>2569</v>
      </c>
      <c r="W18" s="16" t="s">
        <v>2244</v>
      </c>
      <c r="X18" s="16"/>
      <c r="Y18" s="16"/>
      <c r="Z18" s="16"/>
      <c r="AA18" s="16" t="s">
        <v>2603</v>
      </c>
      <c r="AB18" s="16"/>
      <c r="AC18" s="16"/>
      <c r="AD18" s="16"/>
      <c r="AE18" s="16"/>
      <c r="AF18" s="16" t="s">
        <v>2593</v>
      </c>
      <c r="AG18" s="16"/>
      <c r="AH18" s="16"/>
      <c r="AI18" s="16" t="s">
        <v>2594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 t="s">
        <v>2246</v>
      </c>
      <c r="AT18" s="16" t="s">
        <v>2604</v>
      </c>
    </row>
    <row r="19" spans="1:46" ht="37.049999999999997" customHeight="1" x14ac:dyDescent="0.3">
      <c r="A19" s="16" t="s">
        <v>2624</v>
      </c>
      <c r="B19" s="16" t="s">
        <v>2625</v>
      </c>
      <c r="C19" s="16" t="s">
        <v>2237</v>
      </c>
      <c r="D19" s="17" t="s">
        <v>2626</v>
      </c>
      <c r="E19" s="17"/>
      <c r="F19" s="17" t="s">
        <v>2627</v>
      </c>
      <c r="G19" s="17"/>
      <c r="H19" s="17" t="s">
        <v>2238</v>
      </c>
      <c r="I19" s="17" t="s">
        <v>2239</v>
      </c>
      <c r="J19" s="17" t="s">
        <v>2508</v>
      </c>
      <c r="K19" s="17"/>
      <c r="L19" s="17"/>
      <c r="M19" s="17"/>
      <c r="N19" s="17" t="s">
        <v>2609</v>
      </c>
      <c r="O19" s="17"/>
      <c r="P19" s="17" t="s">
        <v>2610</v>
      </c>
      <c r="Q19" s="17" t="s">
        <v>2510</v>
      </c>
      <c r="R19" s="17" t="s">
        <v>2622</v>
      </c>
      <c r="S19" s="17"/>
      <c r="T19" s="17"/>
      <c r="U19" s="17" t="s">
        <v>2628</v>
      </c>
      <c r="V19" s="16" t="s">
        <v>2569</v>
      </c>
      <c r="W19" s="16" t="s">
        <v>2244</v>
      </c>
      <c r="X19" s="16"/>
      <c r="Y19" s="16"/>
      <c r="Z19" s="16"/>
      <c r="AA19" s="16"/>
      <c r="AB19" s="16"/>
      <c r="AC19" s="16"/>
      <c r="AD19" s="16"/>
      <c r="AE19" s="16"/>
      <c r="AF19" s="16" t="s">
        <v>2615</v>
      </c>
      <c r="AG19" s="16"/>
      <c r="AH19" s="16"/>
      <c r="AI19" s="16" t="s">
        <v>2616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 t="s">
        <v>2246</v>
      </c>
      <c r="AT19" s="16" t="s">
        <v>2617</v>
      </c>
    </row>
    <row r="20" spans="1:46" ht="37.049999999999997" customHeight="1" x14ac:dyDescent="0.3">
      <c r="A20" s="16" t="s">
        <v>2420</v>
      </c>
      <c r="B20" s="16" t="s">
        <v>2421</v>
      </c>
      <c r="C20" s="16" t="s">
        <v>2237</v>
      </c>
      <c r="D20" s="17" t="s">
        <v>2422</v>
      </c>
      <c r="E20" s="17"/>
      <c r="F20" s="17" t="s">
        <v>2423</v>
      </c>
      <c r="G20" s="17"/>
      <c r="H20" s="17" t="s">
        <v>2238</v>
      </c>
      <c r="I20" s="17" t="s">
        <v>2239</v>
      </c>
      <c r="J20" s="17" t="s">
        <v>2365</v>
      </c>
      <c r="K20" s="17" t="s">
        <v>2241</v>
      </c>
      <c r="L20" s="17"/>
      <c r="M20" s="17"/>
      <c r="N20" s="17" t="s">
        <v>2264</v>
      </c>
      <c r="O20" s="17"/>
      <c r="P20" s="17" t="s">
        <v>2253</v>
      </c>
      <c r="Q20" s="17" t="s">
        <v>2254</v>
      </c>
      <c r="R20" s="17"/>
      <c r="S20" s="17" t="s">
        <v>2424</v>
      </c>
      <c r="T20" s="17"/>
      <c r="U20" s="17" t="s">
        <v>2425</v>
      </c>
      <c r="V20" s="16"/>
      <c r="W20" s="16" t="s">
        <v>2244</v>
      </c>
      <c r="X20" s="16"/>
      <c r="Y20" s="16"/>
      <c r="Z20" s="16"/>
      <c r="AA20" s="16"/>
      <c r="AB20" s="16"/>
      <c r="AC20" s="16"/>
      <c r="AD20" s="16"/>
      <c r="AE20" s="16"/>
      <c r="AF20" s="16" t="s">
        <v>2370</v>
      </c>
      <c r="AG20" s="16"/>
      <c r="AH20" s="16"/>
      <c r="AI20" s="16" t="s">
        <v>2371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 t="s">
        <v>2246</v>
      </c>
      <c r="AT20" s="16" t="s">
        <v>2355</v>
      </c>
    </row>
    <row r="21" spans="1:46" ht="37.049999999999997" customHeight="1" x14ac:dyDescent="0.3">
      <c r="A21" s="16" t="s">
        <v>2346</v>
      </c>
      <c r="B21" s="16" t="s">
        <v>2876</v>
      </c>
      <c r="C21" s="16" t="s">
        <v>2237</v>
      </c>
      <c r="D21" s="17" t="s">
        <v>2877</v>
      </c>
      <c r="E21" s="17"/>
      <c r="F21" s="17" t="s">
        <v>2878</v>
      </c>
      <c r="G21" s="17"/>
      <c r="H21" s="17" t="s">
        <v>2304</v>
      </c>
      <c r="I21" s="17" t="s">
        <v>2305</v>
      </c>
      <c r="J21" s="17" t="s">
        <v>2306</v>
      </c>
      <c r="K21" s="17" t="s">
        <v>2241</v>
      </c>
      <c r="L21" s="17"/>
      <c r="M21" s="17"/>
      <c r="N21" s="17" t="s">
        <v>2272</v>
      </c>
      <c r="O21" s="17"/>
      <c r="P21" s="17" t="s">
        <v>2273</v>
      </c>
      <c r="Q21" s="17" t="s">
        <v>2307</v>
      </c>
      <c r="R21" s="17"/>
      <c r="S21" s="17"/>
      <c r="T21" s="17" t="s">
        <v>2879</v>
      </c>
      <c r="U21" s="17" t="s">
        <v>2880</v>
      </c>
      <c r="V21" s="16"/>
      <c r="W21" s="16" t="s">
        <v>2244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 t="s">
        <v>2309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 t="s">
        <v>2246</v>
      </c>
      <c r="AT21" s="16" t="s">
        <v>2279</v>
      </c>
    </row>
    <row r="22" spans="1:46" ht="37.049999999999997" customHeight="1" x14ac:dyDescent="0.3">
      <c r="A22" s="16" t="s">
        <v>2236</v>
      </c>
      <c r="B22" s="16" t="s">
        <v>2834</v>
      </c>
      <c r="C22" s="16" t="s">
        <v>2237</v>
      </c>
      <c r="D22" s="17" t="s">
        <v>2835</v>
      </c>
      <c r="E22" s="17"/>
      <c r="F22" s="17" t="s">
        <v>2836</v>
      </c>
      <c r="G22" s="17"/>
      <c r="H22" s="17" t="s">
        <v>2238</v>
      </c>
      <c r="I22" s="17" t="s">
        <v>2239</v>
      </c>
      <c r="J22" s="17" t="s">
        <v>2837</v>
      </c>
      <c r="K22" s="17" t="s">
        <v>2241</v>
      </c>
      <c r="L22" s="17"/>
      <c r="M22" s="17"/>
      <c r="N22" s="17" t="s">
        <v>2272</v>
      </c>
      <c r="O22" s="17"/>
      <c r="P22" s="17" t="s">
        <v>2273</v>
      </c>
      <c r="Q22" s="17" t="s">
        <v>2254</v>
      </c>
      <c r="R22" s="17"/>
      <c r="S22" s="17"/>
      <c r="T22" s="17" t="s">
        <v>2838</v>
      </c>
      <c r="U22" s="17" t="s">
        <v>2117</v>
      </c>
      <c r="V22" s="16"/>
      <c r="W22" s="16" t="s">
        <v>2244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 t="s">
        <v>2839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 t="s">
        <v>2246</v>
      </c>
      <c r="AT22" s="16" t="s">
        <v>2840</v>
      </c>
    </row>
    <row r="23" spans="1:46" ht="37.049999999999997" customHeight="1" x14ac:dyDescent="0.3">
      <c r="A23" s="16" t="s">
        <v>2519</v>
      </c>
      <c r="B23" s="16" t="s">
        <v>2520</v>
      </c>
      <c r="C23" s="16" t="s">
        <v>2237</v>
      </c>
      <c r="D23" s="17" t="s">
        <v>2521</v>
      </c>
      <c r="E23" s="17"/>
      <c r="F23" s="17" t="s">
        <v>2522</v>
      </c>
      <c r="G23" s="17"/>
      <c r="H23" s="17" t="s">
        <v>2238</v>
      </c>
      <c r="I23" s="17" t="s">
        <v>2239</v>
      </c>
      <c r="J23" s="17" t="s">
        <v>2507</v>
      </c>
      <c r="K23" s="17" t="s">
        <v>2508</v>
      </c>
      <c r="L23" s="17"/>
      <c r="M23" s="17"/>
      <c r="N23" s="17" t="s">
        <v>2264</v>
      </c>
      <c r="O23" s="17"/>
      <c r="P23" s="17" t="s">
        <v>2509</v>
      </c>
      <c r="Q23" s="17" t="s">
        <v>2510</v>
      </c>
      <c r="R23" s="17" t="s">
        <v>2523</v>
      </c>
      <c r="S23" s="17" t="s">
        <v>2524</v>
      </c>
      <c r="T23" s="17"/>
      <c r="U23" s="17" t="s">
        <v>2525</v>
      </c>
      <c r="V23" s="16" t="s">
        <v>2514</v>
      </c>
      <c r="W23" s="16" t="s">
        <v>2244</v>
      </c>
      <c r="X23" s="16"/>
      <c r="Y23" s="16"/>
      <c r="Z23" s="16"/>
      <c r="AA23" s="16"/>
      <c r="AB23" s="16"/>
      <c r="AC23" s="16"/>
      <c r="AD23" s="16"/>
      <c r="AE23" s="16"/>
      <c r="AF23" s="16" t="s">
        <v>2515</v>
      </c>
      <c r="AG23" s="16"/>
      <c r="AH23" s="16"/>
      <c r="AI23" s="16" t="s">
        <v>2516</v>
      </c>
      <c r="AJ23" s="16" t="s">
        <v>2526</v>
      </c>
      <c r="AK23" s="16"/>
      <c r="AL23" s="16"/>
      <c r="AM23" s="16"/>
      <c r="AN23" s="16"/>
      <c r="AO23" s="16"/>
      <c r="AP23" s="16"/>
      <c r="AQ23" s="16"/>
      <c r="AR23" s="16"/>
      <c r="AS23" s="16" t="s">
        <v>2246</v>
      </c>
      <c r="AT23" s="16" t="s">
        <v>2527</v>
      </c>
    </row>
    <row r="24" spans="1:46" ht="37.049999999999997" customHeight="1" x14ac:dyDescent="0.3">
      <c r="A24" s="16" t="s">
        <v>2329</v>
      </c>
      <c r="B24" s="16" t="s">
        <v>2956</v>
      </c>
      <c r="C24" s="16" t="s">
        <v>2237</v>
      </c>
      <c r="D24" s="17" t="s">
        <v>2957</v>
      </c>
      <c r="E24" s="17"/>
      <c r="F24" s="17" t="s">
        <v>2958</v>
      </c>
      <c r="G24" s="17"/>
      <c r="H24" s="17" t="s">
        <v>2238</v>
      </c>
      <c r="I24" s="17" t="s">
        <v>2239</v>
      </c>
      <c r="J24" s="17" t="s">
        <v>2507</v>
      </c>
      <c r="K24" s="17" t="s">
        <v>2508</v>
      </c>
      <c r="L24" s="17"/>
      <c r="M24" s="17"/>
      <c r="N24" s="17" t="s">
        <v>2264</v>
      </c>
      <c r="O24" s="17"/>
      <c r="P24" s="17" t="s">
        <v>2509</v>
      </c>
      <c r="Q24" s="17" t="s">
        <v>2510</v>
      </c>
      <c r="R24" s="17" t="s">
        <v>2959</v>
      </c>
      <c r="S24" s="17" t="s">
        <v>2960</v>
      </c>
      <c r="T24" s="17"/>
      <c r="U24" s="17" t="s">
        <v>2961</v>
      </c>
      <c r="V24" s="16" t="s">
        <v>2535</v>
      </c>
      <c r="W24" s="16" t="s">
        <v>2244</v>
      </c>
      <c r="X24" s="16"/>
      <c r="Y24" s="16"/>
      <c r="Z24" s="16"/>
      <c r="AA24" s="16"/>
      <c r="AB24" s="16"/>
      <c r="AC24" s="16"/>
      <c r="AD24" s="16"/>
      <c r="AE24" s="16"/>
      <c r="AF24" s="16" t="s">
        <v>2515</v>
      </c>
      <c r="AG24" s="16"/>
      <c r="AH24" s="16"/>
      <c r="AI24" s="16" t="s">
        <v>2516</v>
      </c>
      <c r="AJ24" s="16" t="s">
        <v>2526</v>
      </c>
      <c r="AK24" s="16"/>
      <c r="AL24" s="16"/>
      <c r="AM24" s="16"/>
      <c r="AN24" s="16"/>
      <c r="AO24" s="16"/>
      <c r="AP24" s="16"/>
      <c r="AQ24" s="16"/>
      <c r="AR24" s="16"/>
      <c r="AS24" s="16" t="s">
        <v>2246</v>
      </c>
      <c r="AT24" s="16" t="s">
        <v>2527</v>
      </c>
    </row>
    <row r="25" spans="1:46" ht="37.049999999999997" customHeight="1" x14ac:dyDescent="0.3">
      <c r="A25" s="16" t="s">
        <v>2287</v>
      </c>
      <c r="B25" s="16" t="s">
        <v>2936</v>
      </c>
      <c r="C25" s="16" t="s">
        <v>2237</v>
      </c>
      <c r="D25" s="17" t="s">
        <v>2937</v>
      </c>
      <c r="E25" s="17"/>
      <c r="F25" s="17" t="s">
        <v>2938</v>
      </c>
      <c r="G25" s="17"/>
      <c r="H25" s="17" t="s">
        <v>2238</v>
      </c>
      <c r="I25" s="17" t="s">
        <v>2239</v>
      </c>
      <c r="J25" s="17" t="s">
        <v>2271</v>
      </c>
      <c r="K25" s="17" t="s">
        <v>2241</v>
      </c>
      <c r="L25" s="17"/>
      <c r="M25" s="17"/>
      <c r="N25" s="17" t="s">
        <v>2848</v>
      </c>
      <c r="O25" s="17"/>
      <c r="P25" s="17" t="s">
        <v>2273</v>
      </c>
      <c r="Q25" s="17" t="s">
        <v>2274</v>
      </c>
      <c r="R25" s="17"/>
      <c r="S25" s="17"/>
      <c r="T25" s="17" t="s">
        <v>2939</v>
      </c>
      <c r="U25" s="17" t="s">
        <v>2940</v>
      </c>
      <c r="V25" s="16"/>
      <c r="W25" s="16" t="s">
        <v>2244</v>
      </c>
      <c r="X25" s="16"/>
      <c r="Y25" s="16"/>
      <c r="Z25" s="16"/>
      <c r="AA25" s="16"/>
      <c r="AB25" s="16"/>
      <c r="AC25" s="16"/>
      <c r="AD25" s="16"/>
      <c r="AE25" s="16"/>
      <c r="AF25" s="16" t="s">
        <v>2277</v>
      </c>
      <c r="AG25" s="16"/>
      <c r="AH25" s="16"/>
      <c r="AI25" s="16" t="s">
        <v>2278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 t="s">
        <v>2246</v>
      </c>
      <c r="AT25" s="16" t="s">
        <v>2279</v>
      </c>
    </row>
    <row r="26" spans="1:46" ht="37.049999999999997" customHeight="1" x14ac:dyDescent="0.3">
      <c r="A26" s="16" t="s">
        <v>2444</v>
      </c>
      <c r="B26" s="16" t="s">
        <v>2921</v>
      </c>
      <c r="C26" s="16" t="s">
        <v>2237</v>
      </c>
      <c r="D26" s="17" t="s">
        <v>2922</v>
      </c>
      <c r="E26" s="17"/>
      <c r="F26" s="17" t="s">
        <v>2923</v>
      </c>
      <c r="G26" s="17"/>
      <c r="H26" s="17" t="s">
        <v>2238</v>
      </c>
      <c r="I26" s="17" t="s">
        <v>2239</v>
      </c>
      <c r="J26" s="17" t="s">
        <v>2508</v>
      </c>
      <c r="K26" s="17"/>
      <c r="L26" s="17"/>
      <c r="M26" s="17"/>
      <c r="N26" s="17" t="s">
        <v>2609</v>
      </c>
      <c r="O26" s="17"/>
      <c r="P26" s="17" t="s">
        <v>2610</v>
      </c>
      <c r="Q26" s="17" t="s">
        <v>2510</v>
      </c>
      <c r="R26" s="17" t="s">
        <v>2654</v>
      </c>
      <c r="S26" s="17" t="s">
        <v>2924</v>
      </c>
      <c r="T26" s="17"/>
      <c r="U26" s="17" t="s">
        <v>2925</v>
      </c>
      <c r="V26" s="16" t="s">
        <v>2569</v>
      </c>
      <c r="W26" s="16" t="s">
        <v>2244</v>
      </c>
      <c r="X26" s="16" t="s">
        <v>2614</v>
      </c>
      <c r="Y26" s="16"/>
      <c r="Z26" s="16"/>
      <c r="AA26" s="16"/>
      <c r="AB26" s="16"/>
      <c r="AC26" s="16"/>
      <c r="AD26" s="16"/>
      <c r="AE26" s="16"/>
      <c r="AF26" s="16" t="s">
        <v>2615</v>
      </c>
      <c r="AG26" s="16"/>
      <c r="AH26" s="16"/>
      <c r="AI26" s="16" t="s">
        <v>2616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 t="s">
        <v>2246</v>
      </c>
      <c r="AT26" s="16" t="s">
        <v>2617</v>
      </c>
    </row>
    <row r="27" spans="1:46" ht="37.049999999999997" customHeight="1" x14ac:dyDescent="0.3">
      <c r="A27" s="16" t="s">
        <v>2299</v>
      </c>
      <c r="B27" s="16" t="s">
        <v>2945</v>
      </c>
      <c r="C27" s="16" t="s">
        <v>2237</v>
      </c>
      <c r="D27" s="17" t="s">
        <v>2946</v>
      </c>
      <c r="E27" s="17"/>
      <c r="F27" s="17" t="s">
        <v>2947</v>
      </c>
      <c r="G27" s="17"/>
      <c r="H27" s="17" t="s">
        <v>2238</v>
      </c>
      <c r="I27" s="17" t="s">
        <v>2239</v>
      </c>
      <c r="J27" s="17" t="s">
        <v>2365</v>
      </c>
      <c r="K27" s="17" t="s">
        <v>2241</v>
      </c>
      <c r="L27" s="17"/>
      <c r="M27" s="17"/>
      <c r="N27" s="17" t="s">
        <v>2264</v>
      </c>
      <c r="O27" s="17"/>
      <c r="P27" s="17" t="s">
        <v>2253</v>
      </c>
      <c r="Q27" s="17" t="s">
        <v>2254</v>
      </c>
      <c r="R27" s="17"/>
      <c r="S27" s="17" t="s">
        <v>2948</v>
      </c>
      <c r="T27" s="17"/>
      <c r="U27" s="17" t="s">
        <v>2949</v>
      </c>
      <c r="V27" s="16"/>
      <c r="W27" s="16" t="s">
        <v>2244</v>
      </c>
      <c r="X27" s="16"/>
      <c r="Y27" s="16"/>
      <c r="Z27" s="16"/>
      <c r="AA27" s="16"/>
      <c r="AB27" s="16"/>
      <c r="AC27" s="16"/>
      <c r="AD27" s="16"/>
      <c r="AE27" s="16"/>
      <c r="AF27" s="16" t="s">
        <v>2370</v>
      </c>
      <c r="AG27" s="16"/>
      <c r="AH27" s="16"/>
      <c r="AI27" s="16" t="s">
        <v>2371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 t="s">
        <v>2246</v>
      </c>
      <c r="AT27" s="16" t="s">
        <v>2355</v>
      </c>
    </row>
    <row r="28" spans="1:46" ht="37.049999999999997" customHeight="1" x14ac:dyDescent="0.3">
      <c r="A28" s="16" t="s">
        <v>2583</v>
      </c>
      <c r="B28" s="16" t="s">
        <v>2584</v>
      </c>
      <c r="C28" s="16" t="s">
        <v>2237</v>
      </c>
      <c r="D28" s="17" t="s">
        <v>2585</v>
      </c>
      <c r="E28" s="17"/>
      <c r="F28" s="17" t="s">
        <v>2586</v>
      </c>
      <c r="G28" s="17"/>
      <c r="H28" s="17" t="s">
        <v>2238</v>
      </c>
      <c r="I28" s="17" t="s">
        <v>2239</v>
      </c>
      <c r="J28" s="17" t="s">
        <v>2587</v>
      </c>
      <c r="K28" s="17"/>
      <c r="L28" s="17"/>
      <c r="M28" s="17"/>
      <c r="N28" s="17" t="s">
        <v>2588</v>
      </c>
      <c r="O28" s="17" t="s">
        <v>2272</v>
      </c>
      <c r="P28" s="17" t="s">
        <v>2564</v>
      </c>
      <c r="Q28" s="17" t="s">
        <v>2565</v>
      </c>
      <c r="R28" s="17" t="s">
        <v>2589</v>
      </c>
      <c r="S28" s="17" t="s">
        <v>2590</v>
      </c>
      <c r="T28" s="17"/>
      <c r="U28" s="17" t="s">
        <v>2591</v>
      </c>
      <c r="V28" s="16" t="s">
        <v>2514</v>
      </c>
      <c r="W28" s="16" t="s">
        <v>2244</v>
      </c>
      <c r="X28" s="16"/>
      <c r="Y28" s="16"/>
      <c r="Z28" s="16"/>
      <c r="AA28" s="16" t="s">
        <v>2592</v>
      </c>
      <c r="AB28" s="16"/>
      <c r="AC28" s="16"/>
      <c r="AD28" s="16"/>
      <c r="AE28" s="16"/>
      <c r="AF28" s="16" t="s">
        <v>2593</v>
      </c>
      <c r="AG28" s="16"/>
      <c r="AH28" s="16"/>
      <c r="AI28" s="16" t="s">
        <v>2594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 t="s">
        <v>2246</v>
      </c>
      <c r="AT28" s="16" t="s">
        <v>2595</v>
      </c>
    </row>
    <row r="29" spans="1:46" ht="37.049999999999997" customHeight="1" x14ac:dyDescent="0.3">
      <c r="A29" s="16" t="s">
        <v>2236</v>
      </c>
      <c r="B29" s="16" t="s">
        <v>2828</v>
      </c>
      <c r="C29" s="16" t="s">
        <v>2237</v>
      </c>
      <c r="D29" s="17" t="s">
        <v>2829</v>
      </c>
      <c r="E29" s="17"/>
      <c r="F29" s="17" t="s">
        <v>2830</v>
      </c>
      <c r="G29" s="17"/>
      <c r="H29" s="17" t="s">
        <v>2238</v>
      </c>
      <c r="I29" s="17" t="s">
        <v>2239</v>
      </c>
      <c r="J29" s="17" t="s">
        <v>2508</v>
      </c>
      <c r="K29" s="17"/>
      <c r="L29" s="17"/>
      <c r="M29" s="17"/>
      <c r="N29" s="17" t="s">
        <v>2609</v>
      </c>
      <c r="O29" s="17"/>
      <c r="P29" s="17" t="s">
        <v>2610</v>
      </c>
      <c r="Q29" s="17" t="s">
        <v>2510</v>
      </c>
      <c r="R29" s="17" t="s">
        <v>2831</v>
      </c>
      <c r="S29" s="17" t="s">
        <v>2832</v>
      </c>
      <c r="T29" s="17"/>
      <c r="U29" s="17" t="s">
        <v>2833</v>
      </c>
      <c r="V29" s="16" t="s">
        <v>2514</v>
      </c>
      <c r="W29" s="16" t="s">
        <v>2244</v>
      </c>
      <c r="X29" s="16" t="s">
        <v>2614</v>
      </c>
      <c r="Y29" s="16"/>
      <c r="Z29" s="16"/>
      <c r="AA29" s="16"/>
      <c r="AB29" s="16"/>
      <c r="AC29" s="16"/>
      <c r="AD29" s="16"/>
      <c r="AE29" s="16"/>
      <c r="AF29" s="16" t="s">
        <v>2615</v>
      </c>
      <c r="AG29" s="16"/>
      <c r="AH29" s="16"/>
      <c r="AI29" s="16" t="s">
        <v>2616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 t="s">
        <v>2246</v>
      </c>
      <c r="AT29" s="16" t="s">
        <v>2617</v>
      </c>
    </row>
    <row r="30" spans="1:46" ht="37.049999999999997" customHeight="1" x14ac:dyDescent="0.3">
      <c r="A30" s="16" t="s">
        <v>2416</v>
      </c>
      <c r="B30" s="16" t="s">
        <v>2903</v>
      </c>
      <c r="C30" s="16" t="s">
        <v>2237</v>
      </c>
      <c r="D30" s="17" t="s">
        <v>2904</v>
      </c>
      <c r="E30" s="17"/>
      <c r="F30" s="17" t="s">
        <v>2905</v>
      </c>
      <c r="G30" s="17"/>
      <c r="H30" s="17" t="s">
        <v>2238</v>
      </c>
      <c r="I30" s="17" t="s">
        <v>2239</v>
      </c>
      <c r="J30" s="17" t="s">
        <v>2507</v>
      </c>
      <c r="K30" s="17" t="s">
        <v>2508</v>
      </c>
      <c r="L30" s="17"/>
      <c r="M30" s="17"/>
      <c r="N30" s="17" t="s">
        <v>2264</v>
      </c>
      <c r="O30" s="17"/>
      <c r="P30" s="17" t="s">
        <v>2509</v>
      </c>
      <c r="Q30" s="17" t="s">
        <v>2510</v>
      </c>
      <c r="R30" s="17" t="s">
        <v>2906</v>
      </c>
      <c r="S30" s="17" t="s">
        <v>2907</v>
      </c>
      <c r="T30" s="17"/>
      <c r="U30" s="17" t="s">
        <v>2908</v>
      </c>
      <c r="V30" s="16" t="s">
        <v>2909</v>
      </c>
      <c r="W30" s="16" t="s">
        <v>2244</v>
      </c>
      <c r="X30" s="16"/>
      <c r="Y30" s="16"/>
      <c r="Z30" s="16"/>
      <c r="AA30" s="16"/>
      <c r="AB30" s="16"/>
      <c r="AC30" s="16"/>
      <c r="AD30" s="16"/>
      <c r="AE30" s="16"/>
      <c r="AF30" s="16" t="s">
        <v>2515</v>
      </c>
      <c r="AG30" s="16"/>
      <c r="AH30" s="16"/>
      <c r="AI30" s="16" t="s">
        <v>2516</v>
      </c>
      <c r="AJ30" s="16" t="s">
        <v>2526</v>
      </c>
      <c r="AK30" s="16"/>
      <c r="AL30" s="16"/>
      <c r="AM30" s="16"/>
      <c r="AN30" s="16"/>
      <c r="AO30" s="16"/>
      <c r="AP30" s="16"/>
      <c r="AQ30" s="16"/>
      <c r="AR30" s="16"/>
      <c r="AS30" s="16" t="s">
        <v>2246</v>
      </c>
      <c r="AT30" s="16" t="s">
        <v>2527</v>
      </c>
    </row>
    <row r="31" spans="1:46" ht="37.049999999999997" customHeight="1" x14ac:dyDescent="0.3">
      <c r="A31" s="16" t="s">
        <v>2444</v>
      </c>
      <c r="B31" s="16" t="s">
        <v>2445</v>
      </c>
      <c r="C31" s="16" t="s">
        <v>2237</v>
      </c>
      <c r="D31" s="17" t="s">
        <v>2446</v>
      </c>
      <c r="E31" s="17"/>
      <c r="F31" s="17" t="s">
        <v>2447</v>
      </c>
      <c r="G31" s="17"/>
      <c r="H31" s="17" t="s">
        <v>2238</v>
      </c>
      <c r="I31" s="17" t="s">
        <v>2239</v>
      </c>
      <c r="J31" s="17" t="s">
        <v>2448</v>
      </c>
      <c r="K31" s="17" t="s">
        <v>2241</v>
      </c>
      <c r="L31" s="17"/>
      <c r="M31" s="17"/>
      <c r="N31" s="17" t="s">
        <v>2389</v>
      </c>
      <c r="O31" s="17"/>
      <c r="P31" s="17" t="s">
        <v>2449</v>
      </c>
      <c r="Q31" s="17" t="s">
        <v>2450</v>
      </c>
      <c r="R31" s="17"/>
      <c r="S31" s="17"/>
      <c r="T31" s="17"/>
      <c r="U31" s="17" t="s">
        <v>2451</v>
      </c>
      <c r="V31" s="16"/>
      <c r="W31" s="16" t="s">
        <v>2244</v>
      </c>
      <c r="X31" s="16" t="s">
        <v>2236</v>
      </c>
      <c r="Y31" s="16"/>
      <c r="Z31" s="16"/>
      <c r="AA31" s="16"/>
      <c r="AB31" s="16"/>
      <c r="AC31" s="16"/>
      <c r="AD31" s="16"/>
      <c r="AE31" s="16"/>
      <c r="AF31" s="16" t="s">
        <v>2452</v>
      </c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 t="s">
        <v>2246</v>
      </c>
      <c r="AT31" s="16" t="s">
        <v>2345</v>
      </c>
    </row>
    <row r="32" spans="1:46" ht="37.049999999999997" customHeight="1" x14ac:dyDescent="0.3">
      <c r="A32" s="16" t="s">
        <v>2323</v>
      </c>
      <c r="B32" s="16" t="s">
        <v>3046</v>
      </c>
      <c r="C32" s="16" t="s">
        <v>2237</v>
      </c>
      <c r="D32" s="17" t="s">
        <v>3047</v>
      </c>
      <c r="E32" s="17"/>
      <c r="F32" s="17" t="s">
        <v>3048</v>
      </c>
      <c r="G32" s="17"/>
      <c r="H32" s="17" t="s">
        <v>2238</v>
      </c>
      <c r="I32" s="17" t="s">
        <v>2239</v>
      </c>
      <c r="J32" s="17" t="s">
        <v>2507</v>
      </c>
      <c r="K32" s="17" t="s">
        <v>2508</v>
      </c>
      <c r="L32" s="17"/>
      <c r="M32" s="17"/>
      <c r="N32" s="17" t="s">
        <v>2252</v>
      </c>
      <c r="O32" s="17"/>
      <c r="P32" s="17" t="s">
        <v>2509</v>
      </c>
      <c r="Q32" s="17" t="s">
        <v>2510</v>
      </c>
      <c r="R32" s="17" t="s">
        <v>2540</v>
      </c>
      <c r="S32" s="17" t="s">
        <v>3049</v>
      </c>
      <c r="T32" s="17"/>
      <c r="U32" s="17" t="s">
        <v>1275</v>
      </c>
      <c r="V32" s="16" t="s">
        <v>2514</v>
      </c>
      <c r="W32" s="16" t="s">
        <v>2244</v>
      </c>
      <c r="X32" s="16"/>
      <c r="Y32" s="16"/>
      <c r="Z32" s="16"/>
      <c r="AA32" s="16"/>
      <c r="AB32" s="16"/>
      <c r="AC32" s="16"/>
      <c r="AD32" s="16"/>
      <c r="AE32" s="16"/>
      <c r="AF32" s="16" t="s">
        <v>2515</v>
      </c>
      <c r="AG32" s="16"/>
      <c r="AH32" s="16"/>
      <c r="AI32" s="16" t="s">
        <v>2516</v>
      </c>
      <c r="AJ32" s="16" t="s">
        <v>2526</v>
      </c>
      <c r="AK32" s="16"/>
      <c r="AL32" s="16"/>
      <c r="AM32" s="16"/>
      <c r="AN32" s="16"/>
      <c r="AO32" s="16"/>
      <c r="AP32" s="16"/>
      <c r="AQ32" s="16"/>
      <c r="AR32" s="16"/>
      <c r="AS32" s="16" t="s">
        <v>2246</v>
      </c>
      <c r="AT32" s="16" t="s">
        <v>2527</v>
      </c>
    </row>
    <row r="33" spans="1:46" ht="37.049999999999997" customHeight="1" x14ac:dyDescent="0.3">
      <c r="A33" s="16" t="s">
        <v>2629</v>
      </c>
      <c r="B33" s="16" t="s">
        <v>2630</v>
      </c>
      <c r="C33" s="16" t="s">
        <v>2237</v>
      </c>
      <c r="D33" s="17" t="s">
        <v>2631</v>
      </c>
      <c r="E33" s="17"/>
      <c r="F33" s="17" t="s">
        <v>2632</v>
      </c>
      <c r="G33" s="17"/>
      <c r="H33" s="17" t="s">
        <v>2238</v>
      </c>
      <c r="I33" s="17" t="s">
        <v>2239</v>
      </c>
      <c r="J33" s="17" t="s">
        <v>2508</v>
      </c>
      <c r="K33" s="17"/>
      <c r="L33" s="17"/>
      <c r="M33" s="17"/>
      <c r="N33" s="17" t="s">
        <v>2609</v>
      </c>
      <c r="O33" s="17"/>
      <c r="P33" s="17" t="s">
        <v>2610</v>
      </c>
      <c r="Q33" s="17" t="s">
        <v>2510</v>
      </c>
      <c r="R33" s="17" t="s">
        <v>2633</v>
      </c>
      <c r="S33" s="17" t="s">
        <v>2634</v>
      </c>
      <c r="T33" s="17"/>
      <c r="U33" s="17" t="s">
        <v>2635</v>
      </c>
      <c r="V33" s="16" t="s">
        <v>2535</v>
      </c>
      <c r="W33" s="16" t="s">
        <v>2244</v>
      </c>
      <c r="X33" s="16"/>
      <c r="Y33" s="16"/>
      <c r="Z33" s="16"/>
      <c r="AA33" s="16"/>
      <c r="AB33" s="16"/>
      <c r="AC33" s="16"/>
      <c r="AD33" s="16"/>
      <c r="AE33" s="16"/>
      <c r="AF33" s="16" t="s">
        <v>2615</v>
      </c>
      <c r="AG33" s="16"/>
      <c r="AH33" s="16"/>
      <c r="AI33" s="16" t="s">
        <v>2616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 t="s">
        <v>2246</v>
      </c>
      <c r="AT33" s="16" t="s">
        <v>2617</v>
      </c>
    </row>
    <row r="34" spans="1:46" ht="37.049999999999997" customHeight="1" x14ac:dyDescent="0.3">
      <c r="A34" s="16" t="s">
        <v>2373</v>
      </c>
      <c r="B34" s="16" t="s">
        <v>2374</v>
      </c>
      <c r="C34" s="16" t="s">
        <v>2237</v>
      </c>
      <c r="D34" s="17" t="s">
        <v>2375</v>
      </c>
      <c r="E34" s="17"/>
      <c r="F34" s="17" t="s">
        <v>2376</v>
      </c>
      <c r="G34" s="17"/>
      <c r="H34" s="17" t="s">
        <v>2238</v>
      </c>
      <c r="I34" s="17" t="s">
        <v>2239</v>
      </c>
      <c r="J34" s="17" t="s">
        <v>2365</v>
      </c>
      <c r="K34" s="17" t="s">
        <v>2241</v>
      </c>
      <c r="L34" s="17"/>
      <c r="M34" s="17"/>
      <c r="N34" s="17" t="s">
        <v>2264</v>
      </c>
      <c r="O34" s="17"/>
      <c r="P34" s="17" t="s">
        <v>2253</v>
      </c>
      <c r="Q34" s="17" t="s">
        <v>2254</v>
      </c>
      <c r="R34" s="17"/>
      <c r="S34" s="17" t="s">
        <v>2377</v>
      </c>
      <c r="T34" s="17"/>
      <c r="U34" s="17" t="s">
        <v>2378</v>
      </c>
      <c r="V34" s="16"/>
      <c r="W34" s="16" t="s">
        <v>2244</v>
      </c>
      <c r="X34" s="16"/>
      <c r="Y34" s="16"/>
      <c r="Z34" s="16"/>
      <c r="AA34" s="16"/>
      <c r="AB34" s="16"/>
      <c r="AC34" s="16"/>
      <c r="AD34" s="16"/>
      <c r="AE34" s="16"/>
      <c r="AF34" s="16" t="s">
        <v>2370</v>
      </c>
      <c r="AG34" s="16"/>
      <c r="AH34" s="16"/>
      <c r="AI34" s="16" t="s">
        <v>2371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 t="s">
        <v>2246</v>
      </c>
      <c r="AT34" s="16" t="s">
        <v>2355</v>
      </c>
    </row>
    <row r="35" spans="1:46" ht="37.049999999999997" customHeight="1" x14ac:dyDescent="0.3">
      <c r="A35" s="16" t="s">
        <v>2267</v>
      </c>
      <c r="B35" s="16" t="s">
        <v>2850</v>
      </c>
      <c r="C35" s="16" t="s">
        <v>2237</v>
      </c>
      <c r="D35" s="17" t="s">
        <v>2851</v>
      </c>
      <c r="E35" s="17"/>
      <c r="F35" s="17" t="s">
        <v>2852</v>
      </c>
      <c r="G35" s="17"/>
      <c r="H35" s="17" t="s">
        <v>2304</v>
      </c>
      <c r="I35" s="17" t="s">
        <v>2305</v>
      </c>
      <c r="J35" s="17" t="s">
        <v>2306</v>
      </c>
      <c r="K35" s="17" t="s">
        <v>2241</v>
      </c>
      <c r="L35" s="17"/>
      <c r="M35" s="17"/>
      <c r="N35" s="17" t="s">
        <v>2272</v>
      </c>
      <c r="O35" s="17"/>
      <c r="P35" s="17" t="s">
        <v>2273</v>
      </c>
      <c r="Q35" s="17" t="s">
        <v>2307</v>
      </c>
      <c r="R35" s="17"/>
      <c r="S35" s="17"/>
      <c r="T35" s="17" t="s">
        <v>2853</v>
      </c>
      <c r="U35" s="17" t="s">
        <v>1442</v>
      </c>
      <c r="V35" s="16"/>
      <c r="W35" s="16" t="s">
        <v>2244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 t="s">
        <v>2309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 t="s">
        <v>2246</v>
      </c>
      <c r="AT35" s="16" t="s">
        <v>2279</v>
      </c>
    </row>
    <row r="36" spans="1:46" ht="37.049999999999997" customHeight="1" x14ac:dyDescent="0.3">
      <c r="A36" s="16" t="s">
        <v>2293</v>
      </c>
      <c r="B36" s="16" t="s">
        <v>2294</v>
      </c>
      <c r="C36" s="16" t="s">
        <v>2237</v>
      </c>
      <c r="D36" s="17" t="s">
        <v>2295</v>
      </c>
      <c r="E36" s="17"/>
      <c r="F36" s="17" t="s">
        <v>2296</v>
      </c>
      <c r="G36" s="17"/>
      <c r="H36" s="17" t="s">
        <v>2238</v>
      </c>
      <c r="I36" s="17" t="s">
        <v>2239</v>
      </c>
      <c r="J36" s="17" t="s">
        <v>2271</v>
      </c>
      <c r="K36" s="17" t="s">
        <v>2241</v>
      </c>
      <c r="L36" s="17"/>
      <c r="M36" s="17"/>
      <c r="N36" s="17" t="s">
        <v>2272</v>
      </c>
      <c r="O36" s="17"/>
      <c r="P36" s="17" t="s">
        <v>2273</v>
      </c>
      <c r="Q36" s="17" t="s">
        <v>2274</v>
      </c>
      <c r="R36" s="17"/>
      <c r="S36" s="17"/>
      <c r="T36" s="17" t="s">
        <v>2297</v>
      </c>
      <c r="U36" s="17" t="s">
        <v>2298</v>
      </c>
      <c r="V36" s="16"/>
      <c r="W36" s="16" t="s">
        <v>2244</v>
      </c>
      <c r="X36" s="16"/>
      <c r="Y36" s="16"/>
      <c r="Z36" s="16"/>
      <c r="AA36" s="16"/>
      <c r="AB36" s="16"/>
      <c r="AC36" s="16"/>
      <c r="AD36" s="16"/>
      <c r="AE36" s="16"/>
      <c r="AF36" s="16" t="s">
        <v>2277</v>
      </c>
      <c r="AG36" s="16"/>
      <c r="AH36" s="16"/>
      <c r="AI36" s="16" t="s">
        <v>2278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 t="s">
        <v>2246</v>
      </c>
      <c r="AT36" s="16" t="s">
        <v>2279</v>
      </c>
    </row>
    <row r="37" spans="1:46" ht="37.049999999999997" customHeight="1" x14ac:dyDescent="0.3">
      <c r="A37" s="16" t="s">
        <v>2329</v>
      </c>
      <c r="B37" s="16" t="s">
        <v>3050</v>
      </c>
      <c r="C37" s="16" t="s">
        <v>2237</v>
      </c>
      <c r="D37" s="17" t="s">
        <v>3051</v>
      </c>
      <c r="E37" s="17"/>
      <c r="F37" s="17" t="s">
        <v>3052</v>
      </c>
      <c r="G37" s="17"/>
      <c r="H37" s="17" t="s">
        <v>2304</v>
      </c>
      <c r="I37" s="17" t="s">
        <v>2305</v>
      </c>
      <c r="J37" s="17" t="s">
        <v>2306</v>
      </c>
      <c r="K37" s="17" t="s">
        <v>2241</v>
      </c>
      <c r="L37" s="17"/>
      <c r="M37" s="17"/>
      <c r="N37" s="17" t="s">
        <v>2272</v>
      </c>
      <c r="O37" s="17"/>
      <c r="P37" s="17" t="s">
        <v>2273</v>
      </c>
      <c r="Q37" s="17" t="s">
        <v>2307</v>
      </c>
      <c r="R37" s="17"/>
      <c r="S37" s="17"/>
      <c r="T37" s="17" t="s">
        <v>3053</v>
      </c>
      <c r="U37" s="17" t="s">
        <v>3054</v>
      </c>
      <c r="V37" s="16"/>
      <c r="W37" s="16" t="s">
        <v>2244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 t="s">
        <v>2309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 t="s">
        <v>2246</v>
      </c>
      <c r="AT37" s="16" t="s">
        <v>2279</v>
      </c>
    </row>
    <row r="38" spans="1:46" ht="37.049999999999997" customHeight="1" x14ac:dyDescent="0.3">
      <c r="A38" s="16" t="s">
        <v>2636</v>
      </c>
      <c r="B38" s="16" t="s">
        <v>2637</v>
      </c>
      <c r="C38" s="16" t="s">
        <v>2237</v>
      </c>
      <c r="D38" s="17" t="s">
        <v>2638</v>
      </c>
      <c r="E38" s="17"/>
      <c r="F38" s="17" t="s">
        <v>2639</v>
      </c>
      <c r="G38" s="17"/>
      <c r="H38" s="17" t="s">
        <v>2238</v>
      </c>
      <c r="I38" s="17" t="s">
        <v>2239</v>
      </c>
      <c r="J38" s="17" t="s">
        <v>2508</v>
      </c>
      <c r="K38" s="17"/>
      <c r="L38" s="17"/>
      <c r="M38" s="17"/>
      <c r="N38" s="17" t="s">
        <v>2609</v>
      </c>
      <c r="O38" s="17"/>
      <c r="P38" s="17" t="s">
        <v>2610</v>
      </c>
      <c r="Q38" s="17" t="s">
        <v>2510</v>
      </c>
      <c r="R38" s="17" t="s">
        <v>2640</v>
      </c>
      <c r="S38" s="17" t="s">
        <v>2641</v>
      </c>
      <c r="T38" s="17"/>
      <c r="U38" s="17" t="s">
        <v>2642</v>
      </c>
      <c r="V38" s="16" t="s">
        <v>2569</v>
      </c>
      <c r="W38" s="16" t="s">
        <v>2244</v>
      </c>
      <c r="X38" s="16" t="s">
        <v>2614</v>
      </c>
      <c r="Y38" s="16"/>
      <c r="Z38" s="16"/>
      <c r="AA38" s="16"/>
      <c r="AB38" s="16"/>
      <c r="AC38" s="16"/>
      <c r="AD38" s="16"/>
      <c r="AE38" s="16"/>
      <c r="AF38" s="16" t="s">
        <v>2615</v>
      </c>
      <c r="AG38" s="16"/>
      <c r="AH38" s="16"/>
      <c r="AI38" s="16" t="s">
        <v>2616</v>
      </c>
      <c r="AJ38" s="16"/>
      <c r="AK38" s="16"/>
      <c r="AL38" s="16"/>
      <c r="AM38" s="16"/>
      <c r="AN38" s="16"/>
      <c r="AO38" s="16"/>
      <c r="AP38" s="16"/>
      <c r="AQ38" s="16"/>
      <c r="AR38" s="16"/>
      <c r="AS38" s="16" t="s">
        <v>2246</v>
      </c>
      <c r="AT38" s="16" t="s">
        <v>2617</v>
      </c>
    </row>
    <row r="39" spans="1:46" ht="37.049999999999997" customHeight="1" x14ac:dyDescent="0.3">
      <c r="A39" s="16" t="s">
        <v>2404</v>
      </c>
      <c r="B39" s="16" t="s">
        <v>2405</v>
      </c>
      <c r="C39" s="16" t="s">
        <v>2237</v>
      </c>
      <c r="D39" s="17" t="s">
        <v>2406</v>
      </c>
      <c r="E39" s="17"/>
      <c r="F39" s="17" t="s">
        <v>2407</v>
      </c>
      <c r="G39" s="17"/>
      <c r="H39" s="17" t="s">
        <v>2238</v>
      </c>
      <c r="I39" s="17" t="s">
        <v>2239</v>
      </c>
      <c r="J39" s="17" t="s">
        <v>2365</v>
      </c>
      <c r="K39" s="17" t="s">
        <v>2241</v>
      </c>
      <c r="L39" s="17"/>
      <c r="M39" s="17"/>
      <c r="N39" s="17" t="s">
        <v>2264</v>
      </c>
      <c r="O39" s="17"/>
      <c r="P39" s="17" t="s">
        <v>2253</v>
      </c>
      <c r="Q39" s="17" t="s">
        <v>2254</v>
      </c>
      <c r="R39" s="17"/>
      <c r="S39" s="17" t="s">
        <v>2408</v>
      </c>
      <c r="T39" s="17"/>
      <c r="U39" s="17" t="s">
        <v>2409</v>
      </c>
      <c r="V39" s="16"/>
      <c r="W39" s="16" t="s">
        <v>2244</v>
      </c>
      <c r="X39" s="16"/>
      <c r="Y39" s="16"/>
      <c r="Z39" s="16"/>
      <c r="AA39" s="16"/>
      <c r="AB39" s="16"/>
      <c r="AC39" s="16"/>
      <c r="AD39" s="16"/>
      <c r="AE39" s="16"/>
      <c r="AF39" s="16" t="s">
        <v>2370</v>
      </c>
      <c r="AG39" s="16"/>
      <c r="AH39" s="16"/>
      <c r="AI39" s="16" t="s">
        <v>2371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 t="s">
        <v>2246</v>
      </c>
      <c r="AT39" s="16" t="s">
        <v>2355</v>
      </c>
    </row>
    <row r="40" spans="1:46" ht="37.049999999999997" customHeight="1" x14ac:dyDescent="0.3">
      <c r="A40" s="16" t="s">
        <v>2485</v>
      </c>
      <c r="B40" s="16" t="s">
        <v>2486</v>
      </c>
      <c r="C40" s="16" t="s">
        <v>2237</v>
      </c>
      <c r="D40" s="17" t="s">
        <v>2487</v>
      </c>
      <c r="E40" s="17"/>
      <c r="F40" s="17" t="s">
        <v>2488</v>
      </c>
      <c r="G40" s="17"/>
      <c r="H40" s="17"/>
      <c r="I40" s="17" t="s">
        <v>2239</v>
      </c>
      <c r="J40" s="17" t="s">
        <v>2489</v>
      </c>
      <c r="K40" s="17"/>
      <c r="L40" s="17"/>
      <c r="M40" s="17"/>
      <c r="N40" s="17" t="s">
        <v>2490</v>
      </c>
      <c r="O40" s="17"/>
      <c r="P40" s="17" t="s">
        <v>2449</v>
      </c>
      <c r="Q40" s="17"/>
      <c r="R40" s="17" t="s">
        <v>2491</v>
      </c>
      <c r="S40" s="17" t="s">
        <v>2492</v>
      </c>
      <c r="T40" s="17"/>
      <c r="U40" s="17" t="s">
        <v>2493</v>
      </c>
      <c r="V40" s="16" t="s">
        <v>2494</v>
      </c>
      <c r="W40" s="16" t="s">
        <v>2244</v>
      </c>
      <c r="X40" s="16" t="s">
        <v>2236</v>
      </c>
      <c r="Y40" s="16"/>
      <c r="Z40" s="16"/>
      <c r="AA40" s="16"/>
      <c r="AB40" s="16"/>
      <c r="AC40" s="16"/>
      <c r="AD40" s="16"/>
      <c r="AE40" s="16"/>
      <c r="AF40" s="16" t="s">
        <v>2452</v>
      </c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 t="s">
        <v>2246</v>
      </c>
      <c r="AT40" s="16" t="s">
        <v>2495</v>
      </c>
    </row>
    <row r="41" spans="1:46" ht="37.049999999999997" customHeight="1" x14ac:dyDescent="0.3">
      <c r="A41" s="16" t="s">
        <v>2420</v>
      </c>
      <c r="B41" s="16" t="s">
        <v>2910</v>
      </c>
      <c r="C41" s="16" t="s">
        <v>2237</v>
      </c>
      <c r="D41" s="17" t="s">
        <v>2911</v>
      </c>
      <c r="E41" s="17"/>
      <c r="F41" s="17" t="s">
        <v>2912</v>
      </c>
      <c r="G41" s="17"/>
      <c r="H41" s="17" t="s">
        <v>2238</v>
      </c>
      <c r="I41" s="17" t="s">
        <v>2239</v>
      </c>
      <c r="J41" s="17" t="s">
        <v>2507</v>
      </c>
      <c r="K41" s="17" t="s">
        <v>2508</v>
      </c>
      <c r="L41" s="17"/>
      <c r="M41" s="17"/>
      <c r="N41" s="17" t="s">
        <v>2264</v>
      </c>
      <c r="O41" s="17"/>
      <c r="P41" s="17" t="s">
        <v>2509</v>
      </c>
      <c r="Q41" s="17" t="s">
        <v>2510</v>
      </c>
      <c r="R41" s="17" t="s">
        <v>2913</v>
      </c>
      <c r="S41" s="17" t="s">
        <v>2914</v>
      </c>
      <c r="T41" s="17"/>
      <c r="U41" s="17" t="s">
        <v>2915</v>
      </c>
      <c r="V41" s="16" t="s">
        <v>2535</v>
      </c>
      <c r="W41" s="16" t="s">
        <v>2244</v>
      </c>
      <c r="X41" s="16"/>
      <c r="Y41" s="16"/>
      <c r="Z41" s="16"/>
      <c r="AA41" s="16"/>
      <c r="AB41" s="16"/>
      <c r="AC41" s="16"/>
      <c r="AD41" s="16"/>
      <c r="AE41" s="16"/>
      <c r="AF41" s="16" t="s">
        <v>2515</v>
      </c>
      <c r="AG41" s="16"/>
      <c r="AH41" s="16"/>
      <c r="AI41" s="16" t="s">
        <v>2516</v>
      </c>
      <c r="AJ41" s="16" t="s">
        <v>2526</v>
      </c>
      <c r="AK41" s="16"/>
      <c r="AL41" s="16"/>
      <c r="AM41" s="16"/>
      <c r="AN41" s="16"/>
      <c r="AO41" s="16"/>
      <c r="AP41" s="16"/>
      <c r="AQ41" s="16"/>
      <c r="AR41" s="16"/>
      <c r="AS41" s="16" t="s">
        <v>2246</v>
      </c>
      <c r="AT41" s="16" t="s">
        <v>2527</v>
      </c>
    </row>
    <row r="42" spans="1:46" ht="37.049999999999997" customHeight="1" x14ac:dyDescent="0.3">
      <c r="A42" s="16" t="s">
        <v>2643</v>
      </c>
      <c r="B42" s="16" t="s">
        <v>2644</v>
      </c>
      <c r="C42" s="16" t="s">
        <v>2237</v>
      </c>
      <c r="D42" s="17" t="s">
        <v>2645</v>
      </c>
      <c r="E42" s="17"/>
      <c r="F42" s="17" t="s">
        <v>2646</v>
      </c>
      <c r="G42" s="17"/>
      <c r="H42" s="17" t="s">
        <v>2238</v>
      </c>
      <c r="I42" s="17" t="s">
        <v>2239</v>
      </c>
      <c r="J42" s="17" t="s">
        <v>2508</v>
      </c>
      <c r="K42" s="17"/>
      <c r="L42" s="17"/>
      <c r="M42" s="17"/>
      <c r="N42" s="17" t="s">
        <v>2609</v>
      </c>
      <c r="O42" s="17"/>
      <c r="P42" s="17" t="s">
        <v>2610</v>
      </c>
      <c r="Q42" s="17" t="s">
        <v>2510</v>
      </c>
      <c r="R42" s="17" t="s">
        <v>2647</v>
      </c>
      <c r="S42" s="17" t="s">
        <v>2648</v>
      </c>
      <c r="T42" s="17"/>
      <c r="U42" s="17" t="s">
        <v>2649</v>
      </c>
      <c r="V42" s="16" t="s">
        <v>2535</v>
      </c>
      <c r="W42" s="16" t="s">
        <v>2244</v>
      </c>
      <c r="X42" s="16"/>
      <c r="Y42" s="16"/>
      <c r="Z42" s="16"/>
      <c r="AA42" s="16"/>
      <c r="AB42" s="16"/>
      <c r="AC42" s="16"/>
      <c r="AD42" s="16"/>
      <c r="AE42" s="16"/>
      <c r="AF42" s="16" t="s">
        <v>2615</v>
      </c>
      <c r="AG42" s="16"/>
      <c r="AH42" s="16"/>
      <c r="AI42" s="16" t="s">
        <v>2616</v>
      </c>
      <c r="AJ42" s="16"/>
      <c r="AK42" s="16"/>
      <c r="AL42" s="16"/>
      <c r="AM42" s="16"/>
      <c r="AN42" s="16"/>
      <c r="AO42" s="16"/>
      <c r="AP42" s="16"/>
      <c r="AQ42" s="16"/>
      <c r="AR42" s="16"/>
      <c r="AS42" s="16" t="s">
        <v>2246</v>
      </c>
      <c r="AT42" s="16" t="s">
        <v>2617</v>
      </c>
    </row>
    <row r="43" spans="1:46" ht="37.049999999999997" customHeight="1" x14ac:dyDescent="0.3">
      <c r="A43" s="16" t="s">
        <v>2650</v>
      </c>
      <c r="B43" s="16" t="s">
        <v>2651</v>
      </c>
      <c r="C43" s="16" t="s">
        <v>2237</v>
      </c>
      <c r="D43" s="17" t="s">
        <v>2652</v>
      </c>
      <c r="E43" s="17"/>
      <c r="F43" s="17" t="s">
        <v>2653</v>
      </c>
      <c r="G43" s="17"/>
      <c r="H43" s="17" t="s">
        <v>2238</v>
      </c>
      <c r="I43" s="17" t="s">
        <v>2239</v>
      </c>
      <c r="J43" s="17" t="s">
        <v>2508</v>
      </c>
      <c r="K43" s="17"/>
      <c r="L43" s="17"/>
      <c r="M43" s="17"/>
      <c r="N43" s="17" t="s">
        <v>2609</v>
      </c>
      <c r="O43" s="17"/>
      <c r="P43" s="17" t="s">
        <v>2610</v>
      </c>
      <c r="Q43" s="17" t="s">
        <v>2510</v>
      </c>
      <c r="R43" s="17" t="s">
        <v>2654</v>
      </c>
      <c r="S43" s="17" t="s">
        <v>2655</v>
      </c>
      <c r="T43" s="17"/>
      <c r="U43" s="17" t="s">
        <v>2656</v>
      </c>
      <c r="V43" s="16" t="s">
        <v>2569</v>
      </c>
      <c r="W43" s="16" t="s">
        <v>2244</v>
      </c>
      <c r="X43" s="16" t="s">
        <v>2614</v>
      </c>
      <c r="Y43" s="16"/>
      <c r="Z43" s="16"/>
      <c r="AA43" s="16"/>
      <c r="AB43" s="16"/>
      <c r="AC43" s="16"/>
      <c r="AD43" s="16"/>
      <c r="AE43" s="16"/>
      <c r="AF43" s="16" t="s">
        <v>2615</v>
      </c>
      <c r="AG43" s="16"/>
      <c r="AH43" s="16"/>
      <c r="AI43" s="16" t="s">
        <v>2616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 t="s">
        <v>2246</v>
      </c>
      <c r="AT43" s="16" t="s">
        <v>2617</v>
      </c>
    </row>
    <row r="44" spans="1:46" ht="37.049999999999997" customHeight="1" x14ac:dyDescent="0.3">
      <c r="A44" s="16" t="s">
        <v>2657</v>
      </c>
      <c r="B44" s="16" t="s">
        <v>2658</v>
      </c>
      <c r="C44" s="16" t="s">
        <v>2237</v>
      </c>
      <c r="D44" s="17" t="s">
        <v>2659</v>
      </c>
      <c r="E44" s="17"/>
      <c r="F44" s="17" t="s">
        <v>2660</v>
      </c>
      <c r="G44" s="17"/>
      <c r="H44" s="17" t="s">
        <v>2238</v>
      </c>
      <c r="I44" s="17" t="s">
        <v>2239</v>
      </c>
      <c r="J44" s="17" t="s">
        <v>2508</v>
      </c>
      <c r="K44" s="17"/>
      <c r="L44" s="17"/>
      <c r="M44" s="17"/>
      <c r="N44" s="17" t="s">
        <v>2609</v>
      </c>
      <c r="O44" s="17"/>
      <c r="P44" s="17" t="s">
        <v>2610</v>
      </c>
      <c r="Q44" s="17" t="s">
        <v>2510</v>
      </c>
      <c r="R44" s="17" t="s">
        <v>2491</v>
      </c>
      <c r="S44" s="17" t="s">
        <v>2661</v>
      </c>
      <c r="T44" s="17"/>
      <c r="U44" s="17" t="s">
        <v>2662</v>
      </c>
      <c r="V44" s="16" t="s">
        <v>2514</v>
      </c>
      <c r="W44" s="16" t="s">
        <v>2244</v>
      </c>
      <c r="X44" s="16" t="s">
        <v>2614</v>
      </c>
      <c r="Y44" s="16"/>
      <c r="Z44" s="16"/>
      <c r="AA44" s="16"/>
      <c r="AB44" s="16"/>
      <c r="AC44" s="16"/>
      <c r="AD44" s="16"/>
      <c r="AE44" s="16"/>
      <c r="AF44" s="16" t="s">
        <v>2615</v>
      </c>
      <c r="AG44" s="16"/>
      <c r="AH44" s="16"/>
      <c r="AI44" s="16" t="s">
        <v>2616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 t="s">
        <v>2246</v>
      </c>
      <c r="AT44" s="16" t="s">
        <v>2617</v>
      </c>
    </row>
    <row r="45" spans="1:46" ht="37.049999999999997" customHeight="1" x14ac:dyDescent="0.3">
      <c r="A45" s="16" t="s">
        <v>2462</v>
      </c>
      <c r="B45" s="16" t="s">
        <v>2463</v>
      </c>
      <c r="C45" s="16" t="s">
        <v>2237</v>
      </c>
      <c r="D45" s="17" t="s">
        <v>2464</v>
      </c>
      <c r="E45" s="17"/>
      <c r="F45" s="17" t="s">
        <v>2465</v>
      </c>
      <c r="G45" s="17"/>
      <c r="H45" s="17"/>
      <c r="I45" s="17" t="s">
        <v>2239</v>
      </c>
      <c r="J45" s="17" t="s">
        <v>2466</v>
      </c>
      <c r="K45" s="17"/>
      <c r="L45" s="17"/>
      <c r="M45" s="17"/>
      <c r="N45" s="17" t="s">
        <v>2389</v>
      </c>
      <c r="O45" s="17"/>
      <c r="P45" s="17" t="s">
        <v>2467</v>
      </c>
      <c r="Q45" s="17"/>
      <c r="R45" s="17" t="s">
        <v>2468</v>
      </c>
      <c r="S45" s="17" t="s">
        <v>2255</v>
      </c>
      <c r="T45" s="17"/>
      <c r="U45" s="17" t="s">
        <v>2256</v>
      </c>
      <c r="V45" s="16" t="s">
        <v>2469</v>
      </c>
      <c r="W45" s="16" t="s">
        <v>2244</v>
      </c>
      <c r="X45" s="16" t="s">
        <v>2236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 t="s">
        <v>2470</v>
      </c>
    </row>
    <row r="46" spans="1:46" ht="37.049999999999997" customHeight="1" x14ac:dyDescent="0.3">
      <c r="A46" s="16" t="s">
        <v>2247</v>
      </c>
      <c r="B46" s="16" t="s">
        <v>2248</v>
      </c>
      <c r="C46" s="16" t="s">
        <v>2237</v>
      </c>
      <c r="D46" s="17" t="s">
        <v>2249</v>
      </c>
      <c r="E46" s="17"/>
      <c r="F46" s="17" t="s">
        <v>2250</v>
      </c>
      <c r="G46" s="17"/>
      <c r="H46" s="17" t="s">
        <v>2238</v>
      </c>
      <c r="I46" s="17" t="s">
        <v>2239</v>
      </c>
      <c r="J46" s="17" t="s">
        <v>2251</v>
      </c>
      <c r="K46" s="17" t="s">
        <v>2241</v>
      </c>
      <c r="L46" s="17"/>
      <c r="M46" s="17"/>
      <c r="N46" s="17" t="s">
        <v>2252</v>
      </c>
      <c r="O46" s="17"/>
      <c r="P46" s="17" t="s">
        <v>2253</v>
      </c>
      <c r="Q46" s="17" t="s">
        <v>2254</v>
      </c>
      <c r="R46" s="17"/>
      <c r="S46" s="17" t="s">
        <v>2255</v>
      </c>
      <c r="T46" s="17"/>
      <c r="U46" s="17" t="s">
        <v>2256</v>
      </c>
      <c r="V46" s="16"/>
      <c r="W46" s="16" t="s">
        <v>2244</v>
      </c>
      <c r="X46" s="16"/>
      <c r="Y46" s="16"/>
      <c r="Z46" s="16"/>
      <c r="AA46" s="16"/>
      <c r="AB46" s="16"/>
      <c r="AC46" s="16"/>
      <c r="AD46" s="16"/>
      <c r="AE46" s="16"/>
      <c r="AF46" s="16" t="s">
        <v>2257</v>
      </c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 t="s">
        <v>2246</v>
      </c>
      <c r="AT46" s="16" t="s">
        <v>2258</v>
      </c>
    </row>
    <row r="47" spans="1:46" ht="37.049999999999997" customHeight="1" x14ac:dyDescent="0.3">
      <c r="A47" s="16" t="s">
        <v>2259</v>
      </c>
      <c r="B47" s="16" t="s">
        <v>2260</v>
      </c>
      <c r="C47" s="16" t="s">
        <v>2237</v>
      </c>
      <c r="D47" s="17" t="s">
        <v>2261</v>
      </c>
      <c r="E47" s="17"/>
      <c r="F47" s="17" t="s">
        <v>2262</v>
      </c>
      <c r="G47" s="17"/>
      <c r="H47" s="17" t="s">
        <v>2238</v>
      </c>
      <c r="I47" s="17" t="s">
        <v>2239</v>
      </c>
      <c r="J47" s="17" t="s">
        <v>2263</v>
      </c>
      <c r="K47" s="17" t="s">
        <v>2241</v>
      </c>
      <c r="L47" s="17"/>
      <c r="M47" s="17"/>
      <c r="N47" s="17" t="s">
        <v>2264</v>
      </c>
      <c r="O47" s="17"/>
      <c r="P47" s="17" t="s">
        <v>2253</v>
      </c>
      <c r="Q47" s="17" t="s">
        <v>2254</v>
      </c>
      <c r="R47" s="17"/>
      <c r="S47" s="17" t="s">
        <v>2265</v>
      </c>
      <c r="T47" s="17"/>
      <c r="U47" s="17" t="s">
        <v>2266</v>
      </c>
      <c r="V47" s="16"/>
      <c r="W47" s="16" t="s">
        <v>2244</v>
      </c>
      <c r="X47" s="16"/>
      <c r="Y47" s="16"/>
      <c r="Z47" s="16"/>
      <c r="AA47" s="16"/>
      <c r="AB47" s="16"/>
      <c r="AC47" s="16"/>
      <c r="AD47" s="16"/>
      <c r="AE47" s="16"/>
      <c r="AF47" s="16" t="s">
        <v>2257</v>
      </c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 t="s">
        <v>2246</v>
      </c>
      <c r="AT47" s="16" t="s">
        <v>2258</v>
      </c>
    </row>
    <row r="48" spans="1:46" ht="37.049999999999997" customHeight="1" x14ac:dyDescent="0.3">
      <c r="A48" s="16" t="s">
        <v>2663</v>
      </c>
      <c r="B48" s="16" t="s">
        <v>2664</v>
      </c>
      <c r="C48" s="16" t="s">
        <v>2237</v>
      </c>
      <c r="D48" s="17" t="s">
        <v>2665</v>
      </c>
      <c r="E48" s="17"/>
      <c r="F48" s="17" t="s">
        <v>2666</v>
      </c>
      <c r="G48" s="17"/>
      <c r="H48" s="17" t="s">
        <v>2238</v>
      </c>
      <c r="I48" s="17" t="s">
        <v>2239</v>
      </c>
      <c r="J48" s="17" t="s">
        <v>2508</v>
      </c>
      <c r="K48" s="17"/>
      <c r="L48" s="17"/>
      <c r="M48" s="17"/>
      <c r="N48" s="17" t="s">
        <v>2667</v>
      </c>
      <c r="O48" s="17"/>
      <c r="P48" s="17" t="s">
        <v>2610</v>
      </c>
      <c r="Q48" s="17" t="s">
        <v>2510</v>
      </c>
      <c r="R48" s="17" t="s">
        <v>2668</v>
      </c>
      <c r="S48" s="17"/>
      <c r="T48" s="17"/>
      <c r="U48" s="17" t="s">
        <v>2669</v>
      </c>
      <c r="V48" s="16" t="s">
        <v>2569</v>
      </c>
      <c r="W48" s="16" t="s">
        <v>2244</v>
      </c>
      <c r="X48" s="16"/>
      <c r="Y48" s="16"/>
      <c r="Z48" s="16"/>
      <c r="AA48" s="16"/>
      <c r="AB48" s="16"/>
      <c r="AC48" s="16"/>
      <c r="AD48" s="16"/>
      <c r="AE48" s="16"/>
      <c r="AF48" s="16" t="s">
        <v>2615</v>
      </c>
      <c r="AG48" s="16"/>
      <c r="AH48" s="16"/>
      <c r="AI48" s="16" t="s">
        <v>2616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6" t="s">
        <v>2246</v>
      </c>
      <c r="AT48" s="16" t="s">
        <v>2617</v>
      </c>
    </row>
    <row r="49" spans="1:46" ht="37.049999999999997" customHeight="1" x14ac:dyDescent="0.3">
      <c r="A49" s="16" t="s">
        <v>2670</v>
      </c>
      <c r="B49" s="16" t="s">
        <v>2671</v>
      </c>
      <c r="C49" s="16" t="s">
        <v>2237</v>
      </c>
      <c r="D49" s="17" t="s">
        <v>2672</v>
      </c>
      <c r="E49" s="17"/>
      <c r="F49" s="17" t="s">
        <v>2673</v>
      </c>
      <c r="G49" s="17"/>
      <c r="H49" s="17" t="s">
        <v>2238</v>
      </c>
      <c r="I49" s="17" t="s">
        <v>2239</v>
      </c>
      <c r="J49" s="17" t="s">
        <v>2508</v>
      </c>
      <c r="K49" s="17"/>
      <c r="L49" s="17"/>
      <c r="M49" s="17"/>
      <c r="N49" s="17" t="s">
        <v>2667</v>
      </c>
      <c r="O49" s="17"/>
      <c r="P49" s="17" t="s">
        <v>2610</v>
      </c>
      <c r="Q49" s="17" t="s">
        <v>2510</v>
      </c>
      <c r="R49" s="17" t="s">
        <v>2674</v>
      </c>
      <c r="S49" s="17" t="s">
        <v>2675</v>
      </c>
      <c r="T49" s="17"/>
      <c r="U49" s="17" t="s">
        <v>2676</v>
      </c>
      <c r="V49" s="16" t="s">
        <v>2569</v>
      </c>
      <c r="W49" s="16" t="s">
        <v>2244</v>
      </c>
      <c r="X49" s="16" t="s">
        <v>2614</v>
      </c>
      <c r="Y49" s="16"/>
      <c r="Z49" s="16"/>
      <c r="AA49" s="16"/>
      <c r="AB49" s="16"/>
      <c r="AC49" s="16"/>
      <c r="AD49" s="16"/>
      <c r="AE49" s="16"/>
      <c r="AF49" s="16" t="s">
        <v>2615</v>
      </c>
      <c r="AG49" s="16"/>
      <c r="AH49" s="16"/>
      <c r="AI49" s="16" t="s">
        <v>2616</v>
      </c>
      <c r="AJ49" s="16"/>
      <c r="AK49" s="16"/>
      <c r="AL49" s="16"/>
      <c r="AM49" s="16"/>
      <c r="AN49" s="16"/>
      <c r="AO49" s="16"/>
      <c r="AP49" s="16"/>
      <c r="AQ49" s="16"/>
      <c r="AR49" s="16"/>
      <c r="AS49" s="16" t="s">
        <v>2246</v>
      </c>
      <c r="AT49" s="16" t="s">
        <v>2617</v>
      </c>
    </row>
    <row r="50" spans="1:46" ht="37.049999999999997" customHeight="1" x14ac:dyDescent="0.3">
      <c r="A50" s="16" t="s">
        <v>2280</v>
      </c>
      <c r="B50" s="16" t="s">
        <v>2281</v>
      </c>
      <c r="C50" s="16" t="s">
        <v>2237</v>
      </c>
      <c r="D50" s="17" t="s">
        <v>2282</v>
      </c>
      <c r="E50" s="17"/>
      <c r="F50" s="17" t="s">
        <v>2283</v>
      </c>
      <c r="G50" s="17"/>
      <c r="H50" s="17" t="s">
        <v>2238</v>
      </c>
      <c r="I50" s="17" t="s">
        <v>2239</v>
      </c>
      <c r="J50" s="17" t="s">
        <v>2271</v>
      </c>
      <c r="K50" s="17" t="s">
        <v>2241</v>
      </c>
      <c r="L50" s="17"/>
      <c r="M50" s="17"/>
      <c r="N50" s="17" t="s">
        <v>2284</v>
      </c>
      <c r="O50" s="17"/>
      <c r="P50" s="17" t="s">
        <v>2273</v>
      </c>
      <c r="Q50" s="17" t="s">
        <v>2274</v>
      </c>
      <c r="R50" s="17"/>
      <c r="S50" s="17"/>
      <c r="T50" s="17" t="s">
        <v>2285</v>
      </c>
      <c r="U50" s="17" t="s">
        <v>2286</v>
      </c>
      <c r="V50" s="16"/>
      <c r="W50" s="16" t="s">
        <v>2244</v>
      </c>
      <c r="X50" s="16"/>
      <c r="Y50" s="16"/>
      <c r="Z50" s="16"/>
      <c r="AA50" s="16"/>
      <c r="AB50" s="16"/>
      <c r="AC50" s="16"/>
      <c r="AD50" s="16"/>
      <c r="AE50" s="16"/>
      <c r="AF50" s="16" t="s">
        <v>2277</v>
      </c>
      <c r="AG50" s="16"/>
      <c r="AH50" s="16"/>
      <c r="AI50" s="16" t="s">
        <v>2278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6" t="s">
        <v>2246</v>
      </c>
      <c r="AT50" s="16" t="s">
        <v>2279</v>
      </c>
    </row>
    <row r="51" spans="1:46" ht="37.049999999999997" customHeight="1" x14ac:dyDescent="0.3">
      <c r="A51" s="16" t="s">
        <v>2356</v>
      </c>
      <c r="B51" s="16" t="s">
        <v>2967</v>
      </c>
      <c r="C51" s="16" t="s">
        <v>2237</v>
      </c>
      <c r="D51" s="17" t="s">
        <v>2968</v>
      </c>
      <c r="E51" s="17"/>
      <c r="F51" s="17" t="s">
        <v>2969</v>
      </c>
      <c r="G51" s="17"/>
      <c r="H51" s="17" t="s">
        <v>2238</v>
      </c>
      <c r="I51" s="17" t="s">
        <v>2239</v>
      </c>
      <c r="J51" s="17" t="s">
        <v>2508</v>
      </c>
      <c r="K51" s="17"/>
      <c r="L51" s="17"/>
      <c r="M51" s="17"/>
      <c r="N51" s="17" t="s">
        <v>2609</v>
      </c>
      <c r="O51" s="17"/>
      <c r="P51" s="17" t="s">
        <v>2610</v>
      </c>
      <c r="Q51" s="17" t="s">
        <v>2510</v>
      </c>
      <c r="R51" s="17" t="s">
        <v>2970</v>
      </c>
      <c r="S51" s="17" t="s">
        <v>2971</v>
      </c>
      <c r="T51" s="17"/>
      <c r="U51" s="17" t="s">
        <v>2972</v>
      </c>
      <c r="V51" s="16" t="s">
        <v>2535</v>
      </c>
      <c r="W51" s="16" t="s">
        <v>2244</v>
      </c>
      <c r="X51" s="16"/>
      <c r="Y51" s="16"/>
      <c r="Z51" s="16"/>
      <c r="AA51" s="16"/>
      <c r="AB51" s="16"/>
      <c r="AC51" s="16"/>
      <c r="AD51" s="16"/>
      <c r="AE51" s="16"/>
      <c r="AF51" s="16" t="s">
        <v>2615</v>
      </c>
      <c r="AG51" s="16"/>
      <c r="AH51" s="16"/>
      <c r="AI51" s="16" t="s">
        <v>2616</v>
      </c>
      <c r="AJ51" s="16"/>
      <c r="AK51" s="16"/>
      <c r="AL51" s="16"/>
      <c r="AM51" s="16"/>
      <c r="AN51" s="16"/>
      <c r="AO51" s="16"/>
      <c r="AP51" s="16"/>
      <c r="AQ51" s="16"/>
      <c r="AR51" s="16"/>
      <c r="AS51" s="16" t="s">
        <v>2246</v>
      </c>
      <c r="AT51" s="16" t="s">
        <v>2617</v>
      </c>
    </row>
    <row r="52" spans="1:46" ht="37.049999999999997" customHeight="1" x14ac:dyDescent="0.3">
      <c r="A52" s="16" t="s">
        <v>2528</v>
      </c>
      <c r="B52" s="16" t="s">
        <v>2529</v>
      </c>
      <c r="C52" s="16" t="s">
        <v>2237</v>
      </c>
      <c r="D52" s="17" t="s">
        <v>2530</v>
      </c>
      <c r="E52" s="17"/>
      <c r="F52" s="17" t="s">
        <v>2531</v>
      </c>
      <c r="G52" s="17"/>
      <c r="H52" s="17" t="s">
        <v>2238</v>
      </c>
      <c r="I52" s="17" t="s">
        <v>2239</v>
      </c>
      <c r="J52" s="17" t="s">
        <v>2507</v>
      </c>
      <c r="K52" s="17" t="s">
        <v>2508</v>
      </c>
      <c r="L52" s="17"/>
      <c r="M52" s="17"/>
      <c r="N52" s="17" t="s">
        <v>2252</v>
      </c>
      <c r="O52" s="17"/>
      <c r="P52" s="17" t="s">
        <v>2509</v>
      </c>
      <c r="Q52" s="17" t="s">
        <v>2510</v>
      </c>
      <c r="R52" s="17" t="s">
        <v>2532</v>
      </c>
      <c r="S52" s="17" t="s">
        <v>2533</v>
      </c>
      <c r="T52" s="17"/>
      <c r="U52" s="17" t="s">
        <v>2534</v>
      </c>
      <c r="V52" s="16" t="s">
        <v>2535</v>
      </c>
      <c r="W52" s="16" t="s">
        <v>2244</v>
      </c>
      <c r="X52" s="16"/>
      <c r="Y52" s="16"/>
      <c r="Z52" s="16"/>
      <c r="AA52" s="16"/>
      <c r="AB52" s="16"/>
      <c r="AC52" s="16"/>
      <c r="AD52" s="16"/>
      <c r="AE52" s="16"/>
      <c r="AF52" s="16" t="s">
        <v>2515</v>
      </c>
      <c r="AG52" s="16"/>
      <c r="AH52" s="16"/>
      <c r="AI52" s="16" t="s">
        <v>2516</v>
      </c>
      <c r="AJ52" s="16" t="s">
        <v>2526</v>
      </c>
      <c r="AK52" s="16"/>
      <c r="AL52" s="16"/>
      <c r="AM52" s="16"/>
      <c r="AN52" s="16"/>
      <c r="AO52" s="16"/>
      <c r="AP52" s="16"/>
      <c r="AQ52" s="16"/>
      <c r="AR52" s="16"/>
      <c r="AS52" s="16" t="s">
        <v>2246</v>
      </c>
      <c r="AT52" s="16" t="s">
        <v>2527</v>
      </c>
    </row>
    <row r="53" spans="1:46" ht="37.049999999999997" customHeight="1" x14ac:dyDescent="0.3">
      <c r="A53" s="16" t="s">
        <v>2677</v>
      </c>
      <c r="B53" s="16" t="s">
        <v>2678</v>
      </c>
      <c r="C53" s="16" t="s">
        <v>2237</v>
      </c>
      <c r="D53" s="17" t="s">
        <v>2679</v>
      </c>
      <c r="E53" s="17"/>
      <c r="F53" s="17" t="s">
        <v>2680</v>
      </c>
      <c r="G53" s="17"/>
      <c r="H53" s="17" t="s">
        <v>2238</v>
      </c>
      <c r="I53" s="17" t="s">
        <v>2239</v>
      </c>
      <c r="J53" s="17" t="s">
        <v>2508</v>
      </c>
      <c r="K53" s="17"/>
      <c r="L53" s="17"/>
      <c r="M53" s="17"/>
      <c r="N53" s="17" t="s">
        <v>2609</v>
      </c>
      <c r="O53" s="17"/>
      <c r="P53" s="17" t="s">
        <v>2610</v>
      </c>
      <c r="Q53" s="17" t="s">
        <v>2510</v>
      </c>
      <c r="R53" s="17" t="s">
        <v>2681</v>
      </c>
      <c r="S53" s="17" t="s">
        <v>2682</v>
      </c>
      <c r="T53" s="17"/>
      <c r="U53" s="17" t="s">
        <v>2683</v>
      </c>
      <c r="V53" s="16" t="s">
        <v>2569</v>
      </c>
      <c r="W53" s="16" t="s">
        <v>2244</v>
      </c>
      <c r="X53" s="16"/>
      <c r="Y53" s="16"/>
      <c r="Z53" s="16"/>
      <c r="AA53" s="16"/>
      <c r="AB53" s="16"/>
      <c r="AC53" s="16"/>
      <c r="AD53" s="16"/>
      <c r="AE53" s="16"/>
      <c r="AF53" s="16" t="s">
        <v>2615</v>
      </c>
      <c r="AG53" s="16"/>
      <c r="AH53" s="16"/>
      <c r="AI53" s="16" t="s">
        <v>2616</v>
      </c>
      <c r="AJ53" s="16"/>
      <c r="AK53" s="16"/>
      <c r="AL53" s="16"/>
      <c r="AM53" s="16"/>
      <c r="AN53" s="16"/>
      <c r="AO53" s="16"/>
      <c r="AP53" s="16"/>
      <c r="AQ53" s="16"/>
      <c r="AR53" s="16"/>
      <c r="AS53" s="16" t="s">
        <v>2246</v>
      </c>
      <c r="AT53" s="16" t="s">
        <v>2617</v>
      </c>
    </row>
    <row r="54" spans="1:46" ht="37.049999999999997" customHeight="1" x14ac:dyDescent="0.3">
      <c r="A54" s="16" t="s">
        <v>2684</v>
      </c>
      <c r="B54" s="16" t="s">
        <v>2685</v>
      </c>
      <c r="C54" s="16" t="s">
        <v>2237</v>
      </c>
      <c r="D54" s="17" t="s">
        <v>2686</v>
      </c>
      <c r="E54" s="17"/>
      <c r="F54" s="17" t="s">
        <v>2687</v>
      </c>
      <c r="G54" s="17"/>
      <c r="H54" s="17" t="s">
        <v>2238</v>
      </c>
      <c r="I54" s="17" t="s">
        <v>2239</v>
      </c>
      <c r="J54" s="17" t="s">
        <v>2508</v>
      </c>
      <c r="K54" s="17"/>
      <c r="L54" s="17"/>
      <c r="M54" s="17"/>
      <c r="N54" s="17" t="s">
        <v>2609</v>
      </c>
      <c r="O54" s="17"/>
      <c r="P54" s="17" t="s">
        <v>2610</v>
      </c>
      <c r="Q54" s="17" t="s">
        <v>2510</v>
      </c>
      <c r="R54" s="17" t="s">
        <v>2622</v>
      </c>
      <c r="S54" s="17"/>
      <c r="T54" s="17"/>
      <c r="U54" s="17" t="s">
        <v>2688</v>
      </c>
      <c r="V54" s="16" t="s">
        <v>2569</v>
      </c>
      <c r="W54" s="16" t="s">
        <v>2244</v>
      </c>
      <c r="X54" s="16"/>
      <c r="Y54" s="16"/>
      <c r="Z54" s="16"/>
      <c r="AA54" s="16"/>
      <c r="AB54" s="16"/>
      <c r="AC54" s="16"/>
      <c r="AD54" s="16"/>
      <c r="AE54" s="16"/>
      <c r="AF54" s="16" t="s">
        <v>2615</v>
      </c>
      <c r="AG54" s="16"/>
      <c r="AH54" s="16"/>
      <c r="AI54" s="16" t="s">
        <v>2616</v>
      </c>
      <c r="AJ54" s="16"/>
      <c r="AK54" s="16"/>
      <c r="AL54" s="16"/>
      <c r="AM54" s="16"/>
      <c r="AN54" s="16"/>
      <c r="AO54" s="16"/>
      <c r="AP54" s="16"/>
      <c r="AQ54" s="16"/>
      <c r="AR54" s="16"/>
      <c r="AS54" s="16" t="s">
        <v>2246</v>
      </c>
      <c r="AT54" s="16" t="s">
        <v>2617</v>
      </c>
    </row>
    <row r="55" spans="1:46" ht="37.049999999999997" customHeight="1" x14ac:dyDescent="0.3">
      <c r="A55" s="16" t="s">
        <v>2323</v>
      </c>
      <c r="B55" s="16" t="s">
        <v>2324</v>
      </c>
      <c r="C55" s="16" t="s">
        <v>2237</v>
      </c>
      <c r="D55" s="17" t="s">
        <v>2325</v>
      </c>
      <c r="E55" s="17"/>
      <c r="F55" s="17" t="s">
        <v>2326</v>
      </c>
      <c r="G55" s="17"/>
      <c r="H55" s="17" t="s">
        <v>2304</v>
      </c>
      <c r="I55" s="17" t="s">
        <v>2305</v>
      </c>
      <c r="J55" s="17" t="s">
        <v>2306</v>
      </c>
      <c r="K55" s="17" t="s">
        <v>2241</v>
      </c>
      <c r="L55" s="17"/>
      <c r="M55" s="17"/>
      <c r="N55" s="17" t="s">
        <v>2272</v>
      </c>
      <c r="O55" s="17"/>
      <c r="P55" s="17" t="s">
        <v>2273</v>
      </c>
      <c r="Q55" s="17" t="s">
        <v>2307</v>
      </c>
      <c r="R55" s="17"/>
      <c r="S55" s="17"/>
      <c r="T55" s="17" t="s">
        <v>2327</v>
      </c>
      <c r="U55" s="17" t="s">
        <v>2328</v>
      </c>
      <c r="V55" s="16"/>
      <c r="W55" s="16" t="s">
        <v>2244</v>
      </c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 t="s">
        <v>2309</v>
      </c>
      <c r="AJ55" s="16"/>
      <c r="AK55" s="16"/>
      <c r="AL55" s="16"/>
      <c r="AM55" s="16"/>
      <c r="AN55" s="16"/>
      <c r="AO55" s="16"/>
      <c r="AP55" s="16"/>
      <c r="AQ55" s="16"/>
      <c r="AR55" s="16"/>
      <c r="AS55" s="16" t="s">
        <v>2246</v>
      </c>
      <c r="AT55" s="16" t="s">
        <v>2279</v>
      </c>
    </row>
    <row r="56" spans="1:46" ht="37.049999999999997" customHeight="1" x14ac:dyDescent="0.3">
      <c r="A56" s="16" t="s">
        <v>2379</v>
      </c>
      <c r="B56" s="16" t="s">
        <v>2380</v>
      </c>
      <c r="C56" s="16" t="s">
        <v>2237</v>
      </c>
      <c r="D56" s="17" t="s">
        <v>2381</v>
      </c>
      <c r="E56" s="17"/>
      <c r="F56" s="17" t="s">
        <v>2382</v>
      </c>
      <c r="G56" s="17"/>
      <c r="H56" s="17" t="s">
        <v>2238</v>
      </c>
      <c r="I56" s="17" t="s">
        <v>2239</v>
      </c>
      <c r="J56" s="17" t="s">
        <v>2365</v>
      </c>
      <c r="K56" s="17" t="s">
        <v>2241</v>
      </c>
      <c r="L56" s="17"/>
      <c r="M56" s="17"/>
      <c r="N56" s="17" t="s">
        <v>2264</v>
      </c>
      <c r="O56" s="17"/>
      <c r="P56" s="17" t="s">
        <v>2253</v>
      </c>
      <c r="Q56" s="17" t="s">
        <v>2254</v>
      </c>
      <c r="R56" s="17"/>
      <c r="S56" s="17" t="s">
        <v>2383</v>
      </c>
      <c r="T56" s="17"/>
      <c r="U56" s="17" t="s">
        <v>2384</v>
      </c>
      <c r="V56" s="16"/>
      <c r="W56" s="16" t="s">
        <v>2244</v>
      </c>
      <c r="X56" s="16"/>
      <c r="Y56" s="16"/>
      <c r="Z56" s="16"/>
      <c r="AA56" s="16"/>
      <c r="AB56" s="16"/>
      <c r="AC56" s="16"/>
      <c r="AD56" s="16"/>
      <c r="AE56" s="16"/>
      <c r="AF56" s="16" t="s">
        <v>2370</v>
      </c>
      <c r="AG56" s="16"/>
      <c r="AH56" s="16"/>
      <c r="AI56" s="16" t="s">
        <v>2371</v>
      </c>
      <c r="AJ56" s="16"/>
      <c r="AK56" s="16"/>
      <c r="AL56" s="16"/>
      <c r="AM56" s="16"/>
      <c r="AN56" s="16"/>
      <c r="AO56" s="16"/>
      <c r="AP56" s="16"/>
      <c r="AQ56" s="16"/>
      <c r="AR56" s="16"/>
      <c r="AS56" s="16" t="s">
        <v>2246</v>
      </c>
      <c r="AT56" s="16" t="s">
        <v>2355</v>
      </c>
    </row>
    <row r="57" spans="1:46" ht="37.049999999999997" customHeight="1" x14ac:dyDescent="0.3">
      <c r="A57" s="16" t="s">
        <v>2329</v>
      </c>
      <c r="B57" s="16" t="s">
        <v>2330</v>
      </c>
      <c r="C57" s="16" t="s">
        <v>2237</v>
      </c>
      <c r="D57" s="17" t="s">
        <v>2331</v>
      </c>
      <c r="E57" s="17"/>
      <c r="F57" s="17" t="s">
        <v>2332</v>
      </c>
      <c r="G57" s="17"/>
      <c r="H57" s="17" t="s">
        <v>2304</v>
      </c>
      <c r="I57" s="17" t="s">
        <v>2305</v>
      </c>
      <c r="J57" s="17" t="s">
        <v>2306</v>
      </c>
      <c r="K57" s="17" t="s">
        <v>2241</v>
      </c>
      <c r="L57" s="17"/>
      <c r="M57" s="17"/>
      <c r="N57" s="17" t="s">
        <v>2272</v>
      </c>
      <c r="O57" s="17"/>
      <c r="P57" s="17" t="s">
        <v>2273</v>
      </c>
      <c r="Q57" s="17" t="s">
        <v>2307</v>
      </c>
      <c r="R57" s="17"/>
      <c r="S57" s="17"/>
      <c r="T57" s="17" t="s">
        <v>2333</v>
      </c>
      <c r="U57" s="17" t="s">
        <v>2334</v>
      </c>
      <c r="V57" s="16"/>
      <c r="W57" s="16" t="s">
        <v>2244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 t="s">
        <v>2309</v>
      </c>
      <c r="AJ57" s="16"/>
      <c r="AK57" s="16"/>
      <c r="AL57" s="16"/>
      <c r="AM57" s="16"/>
      <c r="AN57" s="16"/>
      <c r="AO57" s="16"/>
      <c r="AP57" s="16"/>
      <c r="AQ57" s="16"/>
      <c r="AR57" s="16"/>
      <c r="AS57" s="16" t="s">
        <v>2246</v>
      </c>
      <c r="AT57" s="16" t="s">
        <v>2279</v>
      </c>
    </row>
    <row r="58" spans="1:46" ht="37.049999999999997" customHeight="1" x14ac:dyDescent="0.3">
      <c r="A58" s="16" t="s">
        <v>2335</v>
      </c>
      <c r="B58" s="16" t="s">
        <v>2962</v>
      </c>
      <c r="C58" s="16" t="s">
        <v>2237</v>
      </c>
      <c r="D58" s="17" t="s">
        <v>2963</v>
      </c>
      <c r="E58" s="17"/>
      <c r="F58" s="17" t="s">
        <v>2964</v>
      </c>
      <c r="G58" s="17"/>
      <c r="H58" s="17" t="s">
        <v>2238</v>
      </c>
      <c r="I58" s="17" t="s">
        <v>2239</v>
      </c>
      <c r="J58" s="17" t="s">
        <v>2507</v>
      </c>
      <c r="K58" s="17" t="s">
        <v>2508</v>
      </c>
      <c r="L58" s="17"/>
      <c r="M58" s="17"/>
      <c r="N58" s="17" t="s">
        <v>2264</v>
      </c>
      <c r="O58" s="17"/>
      <c r="P58" s="17" t="s">
        <v>2509</v>
      </c>
      <c r="Q58" s="17" t="s">
        <v>2510</v>
      </c>
      <c r="R58" s="17" t="s">
        <v>2965</v>
      </c>
      <c r="S58" s="17" t="s">
        <v>2966</v>
      </c>
      <c r="T58" s="17"/>
      <c r="U58" s="17" t="s">
        <v>2949</v>
      </c>
      <c r="V58" s="16" t="s">
        <v>2535</v>
      </c>
      <c r="W58" s="16" t="s">
        <v>2244</v>
      </c>
      <c r="X58" s="16"/>
      <c r="Y58" s="16"/>
      <c r="Z58" s="16"/>
      <c r="AA58" s="16"/>
      <c r="AB58" s="16"/>
      <c r="AC58" s="16"/>
      <c r="AD58" s="16"/>
      <c r="AE58" s="16"/>
      <c r="AF58" s="16" t="s">
        <v>2515</v>
      </c>
      <c r="AG58" s="16"/>
      <c r="AH58" s="16"/>
      <c r="AI58" s="16" t="s">
        <v>2516</v>
      </c>
      <c r="AJ58" s="16" t="s">
        <v>2526</v>
      </c>
      <c r="AK58" s="16"/>
      <c r="AL58" s="16"/>
      <c r="AM58" s="16"/>
      <c r="AN58" s="16"/>
      <c r="AO58" s="16"/>
      <c r="AP58" s="16"/>
      <c r="AQ58" s="16"/>
      <c r="AR58" s="16"/>
      <c r="AS58" s="16" t="s">
        <v>2246</v>
      </c>
      <c r="AT58" s="16" t="s">
        <v>2527</v>
      </c>
    </row>
    <row r="59" spans="1:46" ht="37.049999999999997" customHeight="1" x14ac:dyDescent="0.3">
      <c r="A59" s="16" t="s">
        <v>2689</v>
      </c>
      <c r="B59" s="16" t="s">
        <v>2690</v>
      </c>
      <c r="C59" s="16" t="s">
        <v>2237</v>
      </c>
      <c r="D59" s="17" t="s">
        <v>2691</v>
      </c>
      <c r="E59" s="17"/>
      <c r="F59" s="17" t="s">
        <v>2692</v>
      </c>
      <c r="G59" s="17"/>
      <c r="H59" s="17" t="s">
        <v>2238</v>
      </c>
      <c r="I59" s="17" t="s">
        <v>2239</v>
      </c>
      <c r="J59" s="17" t="s">
        <v>2508</v>
      </c>
      <c r="K59" s="17"/>
      <c r="L59" s="17"/>
      <c r="M59" s="17"/>
      <c r="N59" s="17" t="s">
        <v>2609</v>
      </c>
      <c r="O59" s="17"/>
      <c r="P59" s="17" t="s">
        <v>2610</v>
      </c>
      <c r="Q59" s="17" t="s">
        <v>2510</v>
      </c>
      <c r="R59" s="17" t="s">
        <v>2622</v>
      </c>
      <c r="S59" s="17"/>
      <c r="T59" s="17"/>
      <c r="U59" s="17" t="s">
        <v>2693</v>
      </c>
      <c r="V59" s="16" t="s">
        <v>2569</v>
      </c>
      <c r="W59" s="16" t="s">
        <v>2244</v>
      </c>
      <c r="X59" s="16"/>
      <c r="Y59" s="16"/>
      <c r="Z59" s="16"/>
      <c r="AA59" s="16"/>
      <c r="AB59" s="16"/>
      <c r="AC59" s="16"/>
      <c r="AD59" s="16"/>
      <c r="AE59" s="16"/>
      <c r="AF59" s="16" t="s">
        <v>2615</v>
      </c>
      <c r="AG59" s="16"/>
      <c r="AH59" s="16"/>
      <c r="AI59" s="16" t="s">
        <v>2616</v>
      </c>
      <c r="AJ59" s="16"/>
      <c r="AK59" s="16"/>
      <c r="AL59" s="16"/>
      <c r="AM59" s="16"/>
      <c r="AN59" s="16"/>
      <c r="AO59" s="16"/>
      <c r="AP59" s="16"/>
      <c r="AQ59" s="16"/>
      <c r="AR59" s="16"/>
      <c r="AS59" s="16" t="s">
        <v>2246</v>
      </c>
      <c r="AT59" s="16" t="s">
        <v>2617</v>
      </c>
    </row>
    <row r="60" spans="1:46" ht="37.049999999999997" customHeight="1" x14ac:dyDescent="0.3">
      <c r="A60" s="16" t="s">
        <v>2471</v>
      </c>
      <c r="B60" s="16" t="s">
        <v>2472</v>
      </c>
      <c r="C60" s="16" t="s">
        <v>2237</v>
      </c>
      <c r="D60" s="17" t="s">
        <v>2473</v>
      </c>
      <c r="E60" s="17"/>
      <c r="F60" s="17" t="s">
        <v>2474</v>
      </c>
      <c r="G60" s="17"/>
      <c r="H60" s="17"/>
      <c r="I60" s="17" t="s">
        <v>2239</v>
      </c>
      <c r="J60" s="17" t="s">
        <v>2466</v>
      </c>
      <c r="K60" s="17"/>
      <c r="L60" s="17"/>
      <c r="M60" s="17"/>
      <c r="N60" s="17" t="s">
        <v>2389</v>
      </c>
      <c r="O60" s="17"/>
      <c r="P60" s="17" t="s">
        <v>2467</v>
      </c>
      <c r="Q60" s="17"/>
      <c r="R60" s="17" t="s">
        <v>2475</v>
      </c>
      <c r="S60" s="17" t="s">
        <v>2476</v>
      </c>
      <c r="T60" s="17"/>
      <c r="U60" s="17" t="s">
        <v>2477</v>
      </c>
      <c r="V60" s="16" t="s">
        <v>2478</v>
      </c>
      <c r="W60" s="16" t="s">
        <v>2244</v>
      </c>
      <c r="X60" s="16" t="s">
        <v>2236</v>
      </c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 t="s">
        <v>2470</v>
      </c>
    </row>
    <row r="61" spans="1:46" ht="37.049999999999997" customHeight="1" x14ac:dyDescent="0.3">
      <c r="A61" s="16" t="s">
        <v>2694</v>
      </c>
      <c r="B61" s="16" t="s">
        <v>2695</v>
      </c>
      <c r="C61" s="16" t="s">
        <v>2237</v>
      </c>
      <c r="D61" s="17" t="s">
        <v>2696</v>
      </c>
      <c r="E61" s="17"/>
      <c r="F61" s="17" t="s">
        <v>2697</v>
      </c>
      <c r="G61" s="17"/>
      <c r="H61" s="17" t="s">
        <v>2238</v>
      </c>
      <c r="I61" s="17" t="s">
        <v>2239</v>
      </c>
      <c r="J61" s="17" t="s">
        <v>2508</v>
      </c>
      <c r="K61" s="17"/>
      <c r="L61" s="17"/>
      <c r="M61" s="17"/>
      <c r="N61" s="17" t="s">
        <v>2609</v>
      </c>
      <c r="O61" s="17"/>
      <c r="P61" s="17" t="s">
        <v>2610</v>
      </c>
      <c r="Q61" s="17" t="s">
        <v>2510</v>
      </c>
      <c r="R61" s="17" t="s">
        <v>2698</v>
      </c>
      <c r="S61" s="17" t="s">
        <v>2699</v>
      </c>
      <c r="T61" s="17"/>
      <c r="U61" s="17" t="s">
        <v>2700</v>
      </c>
      <c r="V61" s="16" t="s">
        <v>2569</v>
      </c>
      <c r="W61" s="16" t="s">
        <v>2244</v>
      </c>
      <c r="X61" s="16" t="s">
        <v>2701</v>
      </c>
      <c r="Y61" s="16"/>
      <c r="Z61" s="16"/>
      <c r="AA61" s="16"/>
      <c r="AB61" s="16"/>
      <c r="AC61" s="16"/>
      <c r="AD61" s="16"/>
      <c r="AE61" s="16"/>
      <c r="AF61" s="16" t="s">
        <v>2615</v>
      </c>
      <c r="AG61" s="16"/>
      <c r="AH61" s="16"/>
      <c r="AI61" s="16" t="s">
        <v>2616</v>
      </c>
      <c r="AJ61" s="16"/>
      <c r="AK61" s="16"/>
      <c r="AL61" s="16"/>
      <c r="AM61" s="16"/>
      <c r="AN61" s="16"/>
      <c r="AO61" s="16"/>
      <c r="AP61" s="16"/>
      <c r="AQ61" s="16"/>
      <c r="AR61" s="16"/>
      <c r="AS61" s="16" t="s">
        <v>2246</v>
      </c>
      <c r="AT61" s="16" t="s">
        <v>2617</v>
      </c>
    </row>
    <row r="62" spans="1:46" ht="37.049999999999997" customHeight="1" x14ac:dyDescent="0.3">
      <c r="A62" s="16" t="s">
        <v>2536</v>
      </c>
      <c r="B62" s="16" t="s">
        <v>2537</v>
      </c>
      <c r="C62" s="16" t="s">
        <v>2237</v>
      </c>
      <c r="D62" s="17" t="s">
        <v>2538</v>
      </c>
      <c r="E62" s="17"/>
      <c r="F62" s="17" t="s">
        <v>2539</v>
      </c>
      <c r="G62" s="17"/>
      <c r="H62" s="17" t="s">
        <v>2238</v>
      </c>
      <c r="I62" s="17" t="s">
        <v>2239</v>
      </c>
      <c r="J62" s="17" t="s">
        <v>2507</v>
      </c>
      <c r="K62" s="17" t="s">
        <v>2508</v>
      </c>
      <c r="L62" s="17"/>
      <c r="M62" s="17"/>
      <c r="N62" s="17" t="s">
        <v>2264</v>
      </c>
      <c r="O62" s="17"/>
      <c r="P62" s="17" t="s">
        <v>2509</v>
      </c>
      <c r="Q62" s="17" t="s">
        <v>2510</v>
      </c>
      <c r="R62" s="17" t="s">
        <v>2540</v>
      </c>
      <c r="S62" s="17" t="s">
        <v>2541</v>
      </c>
      <c r="T62" s="17"/>
      <c r="U62" s="17" t="s">
        <v>2542</v>
      </c>
      <c r="V62" s="16" t="s">
        <v>2514</v>
      </c>
      <c r="W62" s="16" t="s">
        <v>2244</v>
      </c>
      <c r="X62" s="16"/>
      <c r="Y62" s="16"/>
      <c r="Z62" s="16"/>
      <c r="AA62" s="16"/>
      <c r="AB62" s="16"/>
      <c r="AC62" s="16"/>
      <c r="AD62" s="16"/>
      <c r="AE62" s="16"/>
      <c r="AF62" s="16" t="s">
        <v>2515</v>
      </c>
      <c r="AG62" s="16"/>
      <c r="AH62" s="16"/>
      <c r="AI62" s="16" t="s">
        <v>2516</v>
      </c>
      <c r="AJ62" s="16" t="s">
        <v>2526</v>
      </c>
      <c r="AK62" s="16"/>
      <c r="AL62" s="16"/>
      <c r="AM62" s="16"/>
      <c r="AN62" s="16"/>
      <c r="AO62" s="16"/>
      <c r="AP62" s="16"/>
      <c r="AQ62" s="16"/>
      <c r="AR62" s="16"/>
      <c r="AS62" s="16" t="s">
        <v>2246</v>
      </c>
      <c r="AT62" s="16" t="s">
        <v>2527</v>
      </c>
    </row>
    <row r="63" spans="1:46" ht="37.049999999999997" customHeight="1" x14ac:dyDescent="0.3">
      <c r="A63" s="16" t="s">
        <v>2702</v>
      </c>
      <c r="B63" s="16" t="s">
        <v>2703</v>
      </c>
      <c r="C63" s="16" t="s">
        <v>2237</v>
      </c>
      <c r="D63" s="17" t="s">
        <v>2704</v>
      </c>
      <c r="E63" s="17"/>
      <c r="F63" s="17" t="s">
        <v>2705</v>
      </c>
      <c r="G63" s="17"/>
      <c r="H63" s="17" t="s">
        <v>2238</v>
      </c>
      <c r="I63" s="17" t="s">
        <v>2239</v>
      </c>
      <c r="J63" s="17" t="s">
        <v>2508</v>
      </c>
      <c r="K63" s="17"/>
      <c r="L63" s="17"/>
      <c r="M63" s="17"/>
      <c r="N63" s="17" t="s">
        <v>2609</v>
      </c>
      <c r="O63" s="17"/>
      <c r="P63" s="17" t="s">
        <v>2610</v>
      </c>
      <c r="Q63" s="17" t="s">
        <v>2510</v>
      </c>
      <c r="R63" s="17" t="s">
        <v>2706</v>
      </c>
      <c r="S63" s="17" t="s">
        <v>2707</v>
      </c>
      <c r="T63" s="17"/>
      <c r="U63" s="17" t="s">
        <v>2708</v>
      </c>
      <c r="V63" s="16" t="s">
        <v>2514</v>
      </c>
      <c r="W63" s="16" t="s">
        <v>2244</v>
      </c>
      <c r="X63" s="16" t="s">
        <v>2614</v>
      </c>
      <c r="Y63" s="16"/>
      <c r="Z63" s="16"/>
      <c r="AA63" s="16"/>
      <c r="AB63" s="16"/>
      <c r="AC63" s="16"/>
      <c r="AD63" s="16"/>
      <c r="AE63" s="16"/>
      <c r="AF63" s="16" t="s">
        <v>2615</v>
      </c>
      <c r="AG63" s="16"/>
      <c r="AH63" s="16"/>
      <c r="AI63" s="16" t="s">
        <v>2616</v>
      </c>
      <c r="AJ63" s="16"/>
      <c r="AK63" s="16"/>
      <c r="AL63" s="16"/>
      <c r="AM63" s="16"/>
      <c r="AN63" s="16"/>
      <c r="AO63" s="16"/>
      <c r="AP63" s="16"/>
      <c r="AQ63" s="16"/>
      <c r="AR63" s="16"/>
      <c r="AS63" s="16" t="s">
        <v>2246</v>
      </c>
      <c r="AT63" s="16" t="s">
        <v>2617</v>
      </c>
    </row>
    <row r="64" spans="1:46" ht="37.049999999999997" customHeight="1" x14ac:dyDescent="0.3">
      <c r="A64" s="16" t="s">
        <v>2709</v>
      </c>
      <c r="B64" s="16" t="s">
        <v>2710</v>
      </c>
      <c r="C64" s="16" t="s">
        <v>2237</v>
      </c>
      <c r="D64" s="17" t="s">
        <v>2711</v>
      </c>
      <c r="E64" s="17"/>
      <c r="F64" s="17" t="s">
        <v>2712</v>
      </c>
      <c r="G64" s="17"/>
      <c r="H64" s="17" t="s">
        <v>2238</v>
      </c>
      <c r="I64" s="17" t="s">
        <v>2239</v>
      </c>
      <c r="J64" s="17" t="s">
        <v>2508</v>
      </c>
      <c r="K64" s="17"/>
      <c r="L64" s="17"/>
      <c r="M64" s="17"/>
      <c r="N64" s="17" t="s">
        <v>2609</v>
      </c>
      <c r="O64" s="17"/>
      <c r="P64" s="17" t="s">
        <v>2610</v>
      </c>
      <c r="Q64" s="17" t="s">
        <v>2510</v>
      </c>
      <c r="R64" s="17" t="s">
        <v>2713</v>
      </c>
      <c r="S64" s="17"/>
      <c r="T64" s="17"/>
      <c r="U64" s="17" t="s">
        <v>2714</v>
      </c>
      <c r="V64" s="16" t="s">
        <v>2569</v>
      </c>
      <c r="W64" s="16" t="s">
        <v>2244</v>
      </c>
      <c r="X64" s="16"/>
      <c r="Y64" s="16"/>
      <c r="Z64" s="16"/>
      <c r="AA64" s="16"/>
      <c r="AB64" s="16"/>
      <c r="AC64" s="16"/>
      <c r="AD64" s="16"/>
      <c r="AE64" s="16"/>
      <c r="AF64" s="16" t="s">
        <v>2615</v>
      </c>
      <c r="AG64" s="16"/>
      <c r="AH64" s="16"/>
      <c r="AI64" s="16" t="s">
        <v>2616</v>
      </c>
      <c r="AJ64" s="16"/>
      <c r="AK64" s="16"/>
      <c r="AL64" s="16"/>
      <c r="AM64" s="16"/>
      <c r="AN64" s="16"/>
      <c r="AO64" s="16"/>
      <c r="AP64" s="16"/>
      <c r="AQ64" s="16"/>
      <c r="AR64" s="16"/>
      <c r="AS64" s="16" t="s">
        <v>2246</v>
      </c>
      <c r="AT64" s="16" t="s">
        <v>2617</v>
      </c>
    </row>
    <row r="65" spans="1:46" ht="37.049999999999997" customHeight="1" x14ac:dyDescent="0.3">
      <c r="A65" s="16" t="s">
        <v>2715</v>
      </c>
      <c r="B65" s="16" t="s">
        <v>2716</v>
      </c>
      <c r="C65" s="16" t="s">
        <v>2237</v>
      </c>
      <c r="D65" s="17" t="s">
        <v>2717</v>
      </c>
      <c r="E65" s="17"/>
      <c r="F65" s="17" t="s">
        <v>2718</v>
      </c>
      <c r="G65" s="17"/>
      <c r="H65" s="17" t="s">
        <v>2238</v>
      </c>
      <c r="I65" s="17" t="s">
        <v>2239</v>
      </c>
      <c r="J65" s="17" t="s">
        <v>2508</v>
      </c>
      <c r="K65" s="17"/>
      <c r="L65" s="17"/>
      <c r="M65" s="17"/>
      <c r="N65" s="17" t="s">
        <v>2609</v>
      </c>
      <c r="O65" s="17"/>
      <c r="P65" s="17" t="s">
        <v>2610</v>
      </c>
      <c r="Q65" s="17" t="s">
        <v>2510</v>
      </c>
      <c r="R65" s="17" t="s">
        <v>2713</v>
      </c>
      <c r="S65" s="17"/>
      <c r="T65" s="17"/>
      <c r="U65" s="17" t="s">
        <v>2719</v>
      </c>
      <c r="V65" s="16" t="s">
        <v>2569</v>
      </c>
      <c r="W65" s="16" t="s">
        <v>2244</v>
      </c>
      <c r="X65" s="16"/>
      <c r="Y65" s="16"/>
      <c r="Z65" s="16"/>
      <c r="AA65" s="16"/>
      <c r="AB65" s="16"/>
      <c r="AC65" s="16"/>
      <c r="AD65" s="16"/>
      <c r="AE65" s="16"/>
      <c r="AF65" s="16" t="s">
        <v>2615</v>
      </c>
      <c r="AG65" s="16"/>
      <c r="AH65" s="16"/>
      <c r="AI65" s="16" t="s">
        <v>2616</v>
      </c>
      <c r="AJ65" s="16"/>
      <c r="AK65" s="16"/>
      <c r="AL65" s="16"/>
      <c r="AM65" s="16"/>
      <c r="AN65" s="16"/>
      <c r="AO65" s="16"/>
      <c r="AP65" s="16"/>
      <c r="AQ65" s="16"/>
      <c r="AR65" s="16"/>
      <c r="AS65" s="16" t="s">
        <v>2246</v>
      </c>
      <c r="AT65" s="16" t="s">
        <v>2617</v>
      </c>
    </row>
    <row r="66" spans="1:46" ht="37.049999999999997" customHeight="1" x14ac:dyDescent="0.3">
      <c r="A66" s="16" t="s">
        <v>2720</v>
      </c>
      <c r="B66" s="16" t="s">
        <v>2721</v>
      </c>
      <c r="C66" s="16" t="s">
        <v>2237</v>
      </c>
      <c r="D66" s="17" t="s">
        <v>2722</v>
      </c>
      <c r="E66" s="17"/>
      <c r="F66" s="17" t="s">
        <v>2723</v>
      </c>
      <c r="G66" s="17"/>
      <c r="H66" s="17" t="s">
        <v>2238</v>
      </c>
      <c r="I66" s="17" t="s">
        <v>2239</v>
      </c>
      <c r="J66" s="17" t="s">
        <v>2508</v>
      </c>
      <c r="K66" s="17"/>
      <c r="L66" s="17"/>
      <c r="M66" s="17"/>
      <c r="N66" s="17" t="s">
        <v>2609</v>
      </c>
      <c r="O66" s="17"/>
      <c r="P66" s="17" t="s">
        <v>2610</v>
      </c>
      <c r="Q66" s="17" t="s">
        <v>2510</v>
      </c>
      <c r="R66" s="17" t="s">
        <v>2713</v>
      </c>
      <c r="S66" s="17"/>
      <c r="T66" s="17"/>
      <c r="U66" s="17" t="s">
        <v>2724</v>
      </c>
      <c r="V66" s="16" t="s">
        <v>2569</v>
      </c>
      <c r="W66" s="16" t="s">
        <v>2244</v>
      </c>
      <c r="X66" s="16"/>
      <c r="Y66" s="16"/>
      <c r="Z66" s="16"/>
      <c r="AA66" s="16"/>
      <c r="AB66" s="16"/>
      <c r="AC66" s="16"/>
      <c r="AD66" s="16"/>
      <c r="AE66" s="16"/>
      <c r="AF66" s="16" t="s">
        <v>2615</v>
      </c>
      <c r="AG66" s="16"/>
      <c r="AH66" s="16"/>
      <c r="AI66" s="16" t="s">
        <v>2616</v>
      </c>
      <c r="AJ66" s="16"/>
      <c r="AK66" s="16"/>
      <c r="AL66" s="16"/>
      <c r="AM66" s="16"/>
      <c r="AN66" s="16"/>
      <c r="AO66" s="16"/>
      <c r="AP66" s="16"/>
      <c r="AQ66" s="16"/>
      <c r="AR66" s="16"/>
      <c r="AS66" s="16" t="s">
        <v>2246</v>
      </c>
      <c r="AT66" s="16" t="s">
        <v>2617</v>
      </c>
    </row>
    <row r="67" spans="1:46" ht="37.049999999999997" customHeight="1" x14ac:dyDescent="0.3">
      <c r="A67" s="16" t="s">
        <v>2725</v>
      </c>
      <c r="B67" s="16" t="s">
        <v>2726</v>
      </c>
      <c r="C67" s="16" t="s">
        <v>2237</v>
      </c>
      <c r="D67" s="17" t="s">
        <v>2727</v>
      </c>
      <c r="E67" s="17"/>
      <c r="F67" s="17" t="s">
        <v>2728</v>
      </c>
      <c r="G67" s="17"/>
      <c r="H67" s="17" t="s">
        <v>2238</v>
      </c>
      <c r="I67" s="17" t="s">
        <v>2239</v>
      </c>
      <c r="J67" s="17" t="s">
        <v>2508</v>
      </c>
      <c r="K67" s="17"/>
      <c r="L67" s="17"/>
      <c r="M67" s="17"/>
      <c r="N67" s="17" t="s">
        <v>2609</v>
      </c>
      <c r="O67" s="17"/>
      <c r="P67" s="17" t="s">
        <v>2610</v>
      </c>
      <c r="Q67" s="17" t="s">
        <v>2510</v>
      </c>
      <c r="R67" s="17" t="s">
        <v>2729</v>
      </c>
      <c r="S67" s="17" t="s">
        <v>2730</v>
      </c>
      <c r="T67" s="17"/>
      <c r="U67" s="17" t="s">
        <v>2731</v>
      </c>
      <c r="V67" s="16" t="s">
        <v>2569</v>
      </c>
      <c r="W67" s="16" t="s">
        <v>2244</v>
      </c>
      <c r="X67" s="16" t="s">
        <v>2614</v>
      </c>
      <c r="Y67" s="16"/>
      <c r="Z67" s="16"/>
      <c r="AA67" s="16"/>
      <c r="AB67" s="16"/>
      <c r="AC67" s="16"/>
      <c r="AD67" s="16"/>
      <c r="AE67" s="16"/>
      <c r="AF67" s="16" t="s">
        <v>2615</v>
      </c>
      <c r="AG67" s="16"/>
      <c r="AH67" s="16"/>
      <c r="AI67" s="16" t="s">
        <v>2616</v>
      </c>
      <c r="AJ67" s="16"/>
      <c r="AK67" s="16"/>
      <c r="AL67" s="16"/>
      <c r="AM67" s="16"/>
      <c r="AN67" s="16"/>
      <c r="AO67" s="16"/>
      <c r="AP67" s="16"/>
      <c r="AQ67" s="16"/>
      <c r="AR67" s="16"/>
      <c r="AS67" s="16" t="s">
        <v>2246</v>
      </c>
      <c r="AT67" s="16" t="s">
        <v>2617</v>
      </c>
    </row>
    <row r="68" spans="1:46" ht="37.049999999999997" customHeight="1" x14ac:dyDescent="0.3">
      <c r="A68" s="16" t="s">
        <v>2247</v>
      </c>
      <c r="B68" s="16" t="s">
        <v>2931</v>
      </c>
      <c r="C68" s="16" t="s">
        <v>2237</v>
      </c>
      <c r="D68" s="17" t="s">
        <v>2932</v>
      </c>
      <c r="E68" s="17"/>
      <c r="F68" s="17" t="s">
        <v>2933</v>
      </c>
      <c r="G68" s="17"/>
      <c r="H68" s="17" t="s">
        <v>2238</v>
      </c>
      <c r="I68" s="17" t="s">
        <v>2239</v>
      </c>
      <c r="J68" s="17" t="s">
        <v>2837</v>
      </c>
      <c r="K68" s="17" t="s">
        <v>2241</v>
      </c>
      <c r="L68" s="17"/>
      <c r="M68" s="17"/>
      <c r="N68" s="17" t="s">
        <v>2272</v>
      </c>
      <c r="O68" s="17"/>
      <c r="P68" s="17" t="s">
        <v>2273</v>
      </c>
      <c r="Q68" s="17" t="s">
        <v>2254</v>
      </c>
      <c r="R68" s="17"/>
      <c r="S68" s="17"/>
      <c r="T68" s="17" t="s">
        <v>2934</v>
      </c>
      <c r="U68" s="17" t="s">
        <v>2935</v>
      </c>
      <c r="V68" s="16"/>
      <c r="W68" s="16" t="s">
        <v>2244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 t="s">
        <v>2839</v>
      </c>
      <c r="AJ68" s="16"/>
      <c r="AK68" s="16"/>
      <c r="AL68" s="16"/>
      <c r="AM68" s="16"/>
      <c r="AN68" s="16"/>
      <c r="AO68" s="16"/>
      <c r="AP68" s="16"/>
      <c r="AQ68" s="16"/>
      <c r="AR68" s="16"/>
      <c r="AS68" s="16" t="s">
        <v>2246</v>
      </c>
      <c r="AT68" s="16" t="s">
        <v>2840</v>
      </c>
    </row>
    <row r="69" spans="1:46" ht="37.049999999999997" customHeight="1" x14ac:dyDescent="0.3">
      <c r="A69" s="16" t="s">
        <v>2732</v>
      </c>
      <c r="B69" s="16" t="s">
        <v>2733</v>
      </c>
      <c r="C69" s="16" t="s">
        <v>2237</v>
      </c>
      <c r="D69" s="17" t="s">
        <v>2734</v>
      </c>
      <c r="E69" s="17"/>
      <c r="F69" s="17" t="s">
        <v>2735</v>
      </c>
      <c r="G69" s="17"/>
      <c r="H69" s="17" t="s">
        <v>2238</v>
      </c>
      <c r="I69" s="17" t="s">
        <v>2239</v>
      </c>
      <c r="J69" s="17" t="s">
        <v>2508</v>
      </c>
      <c r="K69" s="17"/>
      <c r="L69" s="17"/>
      <c r="M69" s="17"/>
      <c r="N69" s="17" t="s">
        <v>2609</v>
      </c>
      <c r="O69" s="17"/>
      <c r="P69" s="17" t="s">
        <v>2610</v>
      </c>
      <c r="Q69" s="17" t="s">
        <v>2510</v>
      </c>
      <c r="R69" s="17" t="s">
        <v>2736</v>
      </c>
      <c r="S69" s="17" t="s">
        <v>2737</v>
      </c>
      <c r="T69" s="17"/>
      <c r="U69" s="17" t="s">
        <v>2738</v>
      </c>
      <c r="V69" s="16" t="s">
        <v>2569</v>
      </c>
      <c r="W69" s="16" t="s">
        <v>2244</v>
      </c>
      <c r="X69" s="16" t="s">
        <v>2614</v>
      </c>
      <c r="Y69" s="16"/>
      <c r="Z69" s="16"/>
      <c r="AA69" s="16"/>
      <c r="AB69" s="16"/>
      <c r="AC69" s="16"/>
      <c r="AD69" s="16"/>
      <c r="AE69" s="16"/>
      <c r="AF69" s="16" t="s">
        <v>2615</v>
      </c>
      <c r="AG69" s="16"/>
      <c r="AH69" s="16"/>
      <c r="AI69" s="16" t="s">
        <v>2616</v>
      </c>
      <c r="AJ69" s="16"/>
      <c r="AK69" s="16"/>
      <c r="AL69" s="16"/>
      <c r="AM69" s="16"/>
      <c r="AN69" s="16"/>
      <c r="AO69" s="16"/>
      <c r="AP69" s="16"/>
      <c r="AQ69" s="16"/>
      <c r="AR69" s="16"/>
      <c r="AS69" s="16" t="s">
        <v>2246</v>
      </c>
      <c r="AT69" s="16" t="s">
        <v>2617</v>
      </c>
    </row>
    <row r="70" spans="1:46" ht="37.049999999999997" customHeight="1" x14ac:dyDescent="0.3">
      <c r="A70" s="16" t="s">
        <v>2739</v>
      </c>
      <c r="B70" s="16" t="s">
        <v>2740</v>
      </c>
      <c r="C70" s="16" t="s">
        <v>2237</v>
      </c>
      <c r="D70" s="17" t="s">
        <v>2741</v>
      </c>
      <c r="E70" s="17"/>
      <c r="F70" s="17" t="s">
        <v>2742</v>
      </c>
      <c r="G70" s="17"/>
      <c r="H70" s="17" t="s">
        <v>2238</v>
      </c>
      <c r="I70" s="17" t="s">
        <v>2239</v>
      </c>
      <c r="J70" s="17" t="s">
        <v>2508</v>
      </c>
      <c r="K70" s="17"/>
      <c r="L70" s="17"/>
      <c r="M70" s="17"/>
      <c r="N70" s="17" t="s">
        <v>2609</v>
      </c>
      <c r="O70" s="17"/>
      <c r="P70" s="17" t="s">
        <v>2610</v>
      </c>
      <c r="Q70" s="17" t="s">
        <v>2510</v>
      </c>
      <c r="R70" s="17" t="s">
        <v>2622</v>
      </c>
      <c r="S70" s="17"/>
      <c r="T70" s="17"/>
      <c r="U70" s="17" t="s">
        <v>2743</v>
      </c>
      <c r="V70" s="16" t="s">
        <v>2569</v>
      </c>
      <c r="W70" s="16" t="s">
        <v>2244</v>
      </c>
      <c r="X70" s="16"/>
      <c r="Y70" s="16"/>
      <c r="Z70" s="16"/>
      <c r="AA70" s="16"/>
      <c r="AB70" s="16"/>
      <c r="AC70" s="16"/>
      <c r="AD70" s="16"/>
      <c r="AE70" s="16"/>
      <c r="AF70" s="16" t="s">
        <v>2615</v>
      </c>
      <c r="AG70" s="16"/>
      <c r="AH70" s="16"/>
      <c r="AI70" s="16" t="s">
        <v>2616</v>
      </c>
      <c r="AJ70" s="16"/>
      <c r="AK70" s="16"/>
      <c r="AL70" s="16"/>
      <c r="AM70" s="16"/>
      <c r="AN70" s="16"/>
      <c r="AO70" s="16"/>
      <c r="AP70" s="16"/>
      <c r="AQ70" s="16"/>
      <c r="AR70" s="16"/>
      <c r="AS70" s="16" t="s">
        <v>2246</v>
      </c>
      <c r="AT70" s="16" t="s">
        <v>2617</v>
      </c>
    </row>
    <row r="71" spans="1:46" ht="37.049999999999997" customHeight="1" x14ac:dyDescent="0.3">
      <c r="A71" s="16" t="s">
        <v>2373</v>
      </c>
      <c r="B71" s="16" t="s">
        <v>2973</v>
      </c>
      <c r="C71" s="16" t="s">
        <v>2237</v>
      </c>
      <c r="D71" s="17" t="s">
        <v>2974</v>
      </c>
      <c r="E71" s="17"/>
      <c r="F71" s="17" t="s">
        <v>2975</v>
      </c>
      <c r="G71" s="17"/>
      <c r="H71" s="17" t="s">
        <v>2238</v>
      </c>
      <c r="I71" s="17" t="s">
        <v>2239</v>
      </c>
      <c r="J71" s="17" t="s">
        <v>2508</v>
      </c>
      <c r="K71" s="17"/>
      <c r="L71" s="17"/>
      <c r="M71" s="17"/>
      <c r="N71" s="17" t="s">
        <v>2609</v>
      </c>
      <c r="O71" s="17"/>
      <c r="P71" s="17" t="s">
        <v>2610</v>
      </c>
      <c r="Q71" s="17" t="s">
        <v>2510</v>
      </c>
      <c r="R71" s="17" t="s">
        <v>2640</v>
      </c>
      <c r="S71" s="17" t="s">
        <v>2976</v>
      </c>
      <c r="T71" s="17"/>
      <c r="U71" s="17" t="s">
        <v>2977</v>
      </c>
      <c r="V71" s="16" t="s">
        <v>2569</v>
      </c>
      <c r="W71" s="16" t="s">
        <v>2244</v>
      </c>
      <c r="X71" s="16" t="s">
        <v>2614</v>
      </c>
      <c r="Y71" s="16"/>
      <c r="Z71" s="16"/>
      <c r="AA71" s="16"/>
      <c r="AB71" s="16"/>
      <c r="AC71" s="16"/>
      <c r="AD71" s="16"/>
      <c r="AE71" s="16"/>
      <c r="AF71" s="16" t="s">
        <v>2615</v>
      </c>
      <c r="AG71" s="16"/>
      <c r="AH71" s="16"/>
      <c r="AI71" s="16" t="s">
        <v>2616</v>
      </c>
      <c r="AJ71" s="16"/>
      <c r="AK71" s="16"/>
      <c r="AL71" s="16"/>
      <c r="AM71" s="16"/>
      <c r="AN71" s="16"/>
      <c r="AO71" s="16"/>
      <c r="AP71" s="16"/>
      <c r="AQ71" s="16"/>
      <c r="AR71" s="16"/>
      <c r="AS71" s="16" t="s">
        <v>2246</v>
      </c>
      <c r="AT71" s="16" t="s">
        <v>2617</v>
      </c>
    </row>
    <row r="72" spans="1:46" ht="37.049999999999997" customHeight="1" x14ac:dyDescent="0.3">
      <c r="A72" s="16" t="s">
        <v>2287</v>
      </c>
      <c r="B72" s="16" t="s">
        <v>2288</v>
      </c>
      <c r="C72" s="16" t="s">
        <v>2237</v>
      </c>
      <c r="D72" s="17" t="s">
        <v>2289</v>
      </c>
      <c r="E72" s="17"/>
      <c r="F72" s="17" t="s">
        <v>2290</v>
      </c>
      <c r="G72" s="17"/>
      <c r="H72" s="17" t="s">
        <v>2238</v>
      </c>
      <c r="I72" s="17" t="s">
        <v>2239</v>
      </c>
      <c r="J72" s="17" t="s">
        <v>2271</v>
      </c>
      <c r="K72" s="17" t="s">
        <v>2241</v>
      </c>
      <c r="L72" s="17"/>
      <c r="M72" s="17"/>
      <c r="N72" s="17" t="s">
        <v>2272</v>
      </c>
      <c r="O72" s="17"/>
      <c r="P72" s="17" t="s">
        <v>2273</v>
      </c>
      <c r="Q72" s="17" t="s">
        <v>2274</v>
      </c>
      <c r="R72" s="17"/>
      <c r="S72" s="17"/>
      <c r="T72" s="17" t="s">
        <v>2291</v>
      </c>
      <c r="U72" s="17" t="s">
        <v>2292</v>
      </c>
      <c r="V72" s="16"/>
      <c r="W72" s="16" t="s">
        <v>2244</v>
      </c>
      <c r="X72" s="16"/>
      <c r="Y72" s="16"/>
      <c r="Z72" s="16"/>
      <c r="AA72" s="16"/>
      <c r="AB72" s="16"/>
      <c r="AC72" s="16"/>
      <c r="AD72" s="16"/>
      <c r="AE72" s="16"/>
      <c r="AF72" s="16" t="s">
        <v>2277</v>
      </c>
      <c r="AG72" s="16"/>
      <c r="AH72" s="16"/>
      <c r="AI72" s="16" t="s">
        <v>2278</v>
      </c>
      <c r="AJ72" s="16"/>
      <c r="AK72" s="16"/>
      <c r="AL72" s="16"/>
      <c r="AM72" s="16"/>
      <c r="AN72" s="16"/>
      <c r="AO72" s="16"/>
      <c r="AP72" s="16"/>
      <c r="AQ72" s="16"/>
      <c r="AR72" s="16"/>
      <c r="AS72" s="16" t="s">
        <v>2246</v>
      </c>
      <c r="AT72" s="16" t="s">
        <v>2279</v>
      </c>
    </row>
    <row r="73" spans="1:46" ht="37.049999999999997" customHeight="1" x14ac:dyDescent="0.3">
      <c r="A73" s="16" t="s">
        <v>2479</v>
      </c>
      <c r="B73" s="16" t="s">
        <v>2480</v>
      </c>
      <c r="C73" s="16" t="s">
        <v>2237</v>
      </c>
      <c r="D73" s="17" t="s">
        <v>2481</v>
      </c>
      <c r="E73" s="17"/>
      <c r="F73" s="17" t="s">
        <v>2482</v>
      </c>
      <c r="G73" s="17"/>
      <c r="H73" s="17"/>
      <c r="I73" s="17" t="s">
        <v>2239</v>
      </c>
      <c r="J73" s="17" t="s">
        <v>2466</v>
      </c>
      <c r="K73" s="17"/>
      <c r="L73" s="17"/>
      <c r="M73" s="17"/>
      <c r="N73" s="17" t="s">
        <v>2389</v>
      </c>
      <c r="O73" s="17"/>
      <c r="P73" s="17" t="s">
        <v>2467</v>
      </c>
      <c r="Q73" s="17"/>
      <c r="R73" s="17" t="s">
        <v>2475</v>
      </c>
      <c r="S73" s="17" t="s">
        <v>2483</v>
      </c>
      <c r="T73" s="17"/>
      <c r="U73" s="17" t="s">
        <v>2484</v>
      </c>
      <c r="V73" s="16" t="s">
        <v>2478</v>
      </c>
      <c r="W73" s="16" t="s">
        <v>2244</v>
      </c>
      <c r="X73" s="16" t="s">
        <v>2236</v>
      </c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 t="s">
        <v>2470</v>
      </c>
    </row>
    <row r="74" spans="1:46" ht="37.049999999999997" customHeight="1" x14ac:dyDescent="0.3">
      <c r="A74" s="16" t="s">
        <v>2340</v>
      </c>
      <c r="B74" s="16" t="s">
        <v>2871</v>
      </c>
      <c r="C74" s="16" t="s">
        <v>2237</v>
      </c>
      <c r="D74" s="17" t="s">
        <v>2872</v>
      </c>
      <c r="E74" s="17"/>
      <c r="F74" s="17" t="s">
        <v>2873</v>
      </c>
      <c r="G74" s="17"/>
      <c r="H74" s="17" t="s">
        <v>2304</v>
      </c>
      <c r="I74" s="17" t="s">
        <v>2305</v>
      </c>
      <c r="J74" s="17" t="s">
        <v>2306</v>
      </c>
      <c r="K74" s="17" t="s">
        <v>2241</v>
      </c>
      <c r="L74" s="17"/>
      <c r="M74" s="17"/>
      <c r="N74" s="17" t="s">
        <v>2272</v>
      </c>
      <c r="O74" s="17"/>
      <c r="P74" s="17" t="s">
        <v>2273</v>
      </c>
      <c r="Q74" s="17" t="s">
        <v>2307</v>
      </c>
      <c r="R74" s="17"/>
      <c r="S74" s="17"/>
      <c r="T74" s="17" t="s">
        <v>2874</v>
      </c>
      <c r="U74" s="17" t="s">
        <v>2875</v>
      </c>
      <c r="V74" s="16"/>
      <c r="W74" s="16" t="s">
        <v>2244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 t="s">
        <v>2309</v>
      </c>
      <c r="AJ74" s="16"/>
      <c r="AK74" s="16"/>
      <c r="AL74" s="16"/>
      <c r="AM74" s="16"/>
      <c r="AN74" s="16"/>
      <c r="AO74" s="16"/>
      <c r="AP74" s="16"/>
      <c r="AQ74" s="16"/>
      <c r="AR74" s="16"/>
      <c r="AS74" s="16" t="s">
        <v>2246</v>
      </c>
      <c r="AT74" s="16" t="s">
        <v>2279</v>
      </c>
    </row>
    <row r="75" spans="1:46" ht="37.049999999999997" customHeight="1" x14ac:dyDescent="0.3">
      <c r="A75" s="16" t="s">
        <v>2346</v>
      </c>
      <c r="B75" s="16" t="s">
        <v>2347</v>
      </c>
      <c r="C75" s="16" t="s">
        <v>2237</v>
      </c>
      <c r="D75" s="17" t="s">
        <v>2348</v>
      </c>
      <c r="E75" s="17"/>
      <c r="F75" s="17" t="s">
        <v>2349</v>
      </c>
      <c r="G75" s="17"/>
      <c r="H75" s="17" t="s">
        <v>2238</v>
      </c>
      <c r="I75" s="17" t="s">
        <v>2239</v>
      </c>
      <c r="J75" s="17" t="s">
        <v>2350</v>
      </c>
      <c r="K75" s="17" t="s">
        <v>2241</v>
      </c>
      <c r="L75" s="17"/>
      <c r="M75" s="17"/>
      <c r="N75" s="17" t="s">
        <v>2252</v>
      </c>
      <c r="O75" s="17"/>
      <c r="P75" s="17" t="s">
        <v>2253</v>
      </c>
      <c r="Q75" s="17" t="s">
        <v>2274</v>
      </c>
      <c r="R75" s="17"/>
      <c r="S75" s="17" t="s">
        <v>2351</v>
      </c>
      <c r="T75" s="17"/>
      <c r="U75" s="17" t="s">
        <v>2352</v>
      </c>
      <c r="V75" s="16"/>
      <c r="W75" s="16" t="s">
        <v>2244</v>
      </c>
      <c r="X75" s="16"/>
      <c r="Y75" s="16"/>
      <c r="Z75" s="16"/>
      <c r="AA75" s="16"/>
      <c r="AB75" s="16"/>
      <c r="AC75" s="16"/>
      <c r="AD75" s="16"/>
      <c r="AE75" s="16"/>
      <c r="AF75" s="16" t="s">
        <v>2353</v>
      </c>
      <c r="AG75" s="16"/>
      <c r="AH75" s="16"/>
      <c r="AI75" s="16" t="s">
        <v>2354</v>
      </c>
      <c r="AJ75" s="16"/>
      <c r="AK75" s="16"/>
      <c r="AL75" s="16"/>
      <c r="AM75" s="16"/>
      <c r="AN75" s="16"/>
      <c r="AO75" s="16"/>
      <c r="AP75" s="16"/>
      <c r="AQ75" s="16"/>
      <c r="AR75" s="16"/>
      <c r="AS75" s="16" t="s">
        <v>2246</v>
      </c>
      <c r="AT75" s="16" t="s">
        <v>2355</v>
      </c>
    </row>
    <row r="76" spans="1:46" ht="37.049999999999997" customHeight="1" x14ac:dyDescent="0.3">
      <c r="A76" s="16" t="s">
        <v>2299</v>
      </c>
      <c r="B76" s="16" t="s">
        <v>3030</v>
      </c>
      <c r="C76" s="16" t="s">
        <v>2237</v>
      </c>
      <c r="D76" s="17" t="s">
        <v>3031</v>
      </c>
      <c r="E76" s="17"/>
      <c r="F76" s="17" t="s">
        <v>3032</v>
      </c>
      <c r="G76" s="17"/>
      <c r="H76" s="17" t="s">
        <v>2238</v>
      </c>
      <c r="I76" s="17" t="s">
        <v>2239</v>
      </c>
      <c r="J76" s="17" t="s">
        <v>2271</v>
      </c>
      <c r="K76" s="17" t="s">
        <v>2241</v>
      </c>
      <c r="L76" s="17"/>
      <c r="M76" s="17"/>
      <c r="N76" s="17" t="s">
        <v>2272</v>
      </c>
      <c r="O76" s="17"/>
      <c r="P76" s="17" t="s">
        <v>2273</v>
      </c>
      <c r="Q76" s="17" t="s">
        <v>2274</v>
      </c>
      <c r="R76" s="17"/>
      <c r="S76" s="17"/>
      <c r="T76" s="17" t="s">
        <v>3033</v>
      </c>
      <c r="U76" s="17" t="s">
        <v>3034</v>
      </c>
      <c r="V76" s="16"/>
      <c r="W76" s="16" t="s">
        <v>2244</v>
      </c>
      <c r="X76" s="16"/>
      <c r="Y76" s="16"/>
      <c r="Z76" s="16"/>
      <c r="AA76" s="16"/>
      <c r="AB76" s="16"/>
      <c r="AC76" s="16"/>
      <c r="AD76" s="16"/>
      <c r="AE76" s="16"/>
      <c r="AF76" s="16" t="s">
        <v>2277</v>
      </c>
      <c r="AG76" s="16"/>
      <c r="AH76" s="16"/>
      <c r="AI76" s="16" t="s">
        <v>2278</v>
      </c>
      <c r="AJ76" s="16"/>
      <c r="AK76" s="16"/>
      <c r="AL76" s="16"/>
      <c r="AM76" s="16"/>
      <c r="AN76" s="16"/>
      <c r="AO76" s="16"/>
      <c r="AP76" s="16"/>
      <c r="AQ76" s="16"/>
      <c r="AR76" s="16"/>
      <c r="AS76" s="16" t="s">
        <v>2246</v>
      </c>
      <c r="AT76" s="16" t="s">
        <v>2279</v>
      </c>
    </row>
    <row r="77" spans="1:46" ht="37.049999999999997" customHeight="1" x14ac:dyDescent="0.3">
      <c r="A77" s="16" t="s">
        <v>2558</v>
      </c>
      <c r="B77" s="16" t="s">
        <v>2559</v>
      </c>
      <c r="C77" s="16" t="s">
        <v>2237</v>
      </c>
      <c r="D77" s="17" t="s">
        <v>2560</v>
      </c>
      <c r="E77" s="17"/>
      <c r="F77" s="17" t="s">
        <v>2561</v>
      </c>
      <c r="G77" s="17"/>
      <c r="H77" s="17" t="s">
        <v>2238</v>
      </c>
      <c r="I77" s="17" t="s">
        <v>2239</v>
      </c>
      <c r="J77" s="17" t="s">
        <v>2562</v>
      </c>
      <c r="K77" s="17"/>
      <c r="L77" s="17"/>
      <c r="M77" s="17"/>
      <c r="N77" s="17" t="s">
        <v>2272</v>
      </c>
      <c r="O77" s="17" t="s">
        <v>2563</v>
      </c>
      <c r="P77" s="17" t="s">
        <v>2564</v>
      </c>
      <c r="Q77" s="17" t="s">
        <v>2565</v>
      </c>
      <c r="R77" s="17" t="s">
        <v>2566</v>
      </c>
      <c r="S77" s="17" t="s">
        <v>2567</v>
      </c>
      <c r="T77" s="17"/>
      <c r="U77" s="17" t="s">
        <v>2568</v>
      </c>
      <c r="V77" s="16" t="s">
        <v>2569</v>
      </c>
      <c r="W77" s="16" t="s">
        <v>2244</v>
      </c>
      <c r="X77" s="16"/>
      <c r="Y77" s="16"/>
      <c r="Z77" s="16"/>
      <c r="AA77" s="16" t="s">
        <v>2570</v>
      </c>
      <c r="AB77" s="16"/>
      <c r="AC77" s="16"/>
      <c r="AD77" s="16"/>
      <c r="AE77" s="16"/>
      <c r="AF77" s="16" t="s">
        <v>2571</v>
      </c>
      <c r="AG77" s="16"/>
      <c r="AH77" s="16"/>
      <c r="AI77" s="16" t="s">
        <v>2572</v>
      </c>
      <c r="AJ77" s="16"/>
      <c r="AK77" s="16"/>
      <c r="AL77" s="16"/>
      <c r="AM77" s="16"/>
      <c r="AN77" s="16"/>
      <c r="AO77" s="16"/>
      <c r="AP77" s="16"/>
      <c r="AQ77" s="16"/>
      <c r="AR77" s="16"/>
      <c r="AS77" s="16" t="s">
        <v>2246</v>
      </c>
      <c r="AT77" s="16" t="s">
        <v>2573</v>
      </c>
    </row>
    <row r="78" spans="1:46" ht="37.049999999999997" customHeight="1" x14ac:dyDescent="0.3">
      <c r="A78" s="16" t="s">
        <v>2293</v>
      </c>
      <c r="B78" s="16" t="s">
        <v>2941</v>
      </c>
      <c r="C78" s="16" t="s">
        <v>2237</v>
      </c>
      <c r="D78" s="17" t="s">
        <v>2942</v>
      </c>
      <c r="E78" s="17"/>
      <c r="F78" s="17" t="s">
        <v>2943</v>
      </c>
      <c r="G78" s="17"/>
      <c r="H78" s="17" t="s">
        <v>2304</v>
      </c>
      <c r="I78" s="17" t="s">
        <v>2305</v>
      </c>
      <c r="J78" s="17" t="s">
        <v>2306</v>
      </c>
      <c r="K78" s="17" t="s">
        <v>2241</v>
      </c>
      <c r="L78" s="17"/>
      <c r="M78" s="17"/>
      <c r="N78" s="17" t="s">
        <v>2272</v>
      </c>
      <c r="O78" s="17"/>
      <c r="P78" s="17" t="s">
        <v>2273</v>
      </c>
      <c r="Q78" s="17" t="s">
        <v>2307</v>
      </c>
      <c r="R78" s="17"/>
      <c r="S78" s="17"/>
      <c r="T78" s="17" t="s">
        <v>2944</v>
      </c>
      <c r="U78" s="17" t="s">
        <v>2292</v>
      </c>
      <c r="V78" s="16"/>
      <c r="W78" s="16" t="s">
        <v>2244</v>
      </c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 t="s">
        <v>2309</v>
      </c>
      <c r="AJ78" s="16"/>
      <c r="AK78" s="16"/>
      <c r="AL78" s="16"/>
      <c r="AM78" s="16"/>
      <c r="AN78" s="16"/>
      <c r="AO78" s="16"/>
      <c r="AP78" s="16"/>
      <c r="AQ78" s="16"/>
      <c r="AR78" s="16"/>
      <c r="AS78" s="16" t="s">
        <v>2246</v>
      </c>
      <c r="AT78" s="16" t="s">
        <v>2279</v>
      </c>
    </row>
    <row r="79" spans="1:46" ht="37.049999999999997" customHeight="1" x14ac:dyDescent="0.3">
      <c r="A79" s="16" t="s">
        <v>2744</v>
      </c>
      <c r="B79" s="16" t="s">
        <v>2745</v>
      </c>
      <c r="C79" s="16" t="s">
        <v>2237</v>
      </c>
      <c r="D79" s="17" t="s">
        <v>2746</v>
      </c>
      <c r="E79" s="17"/>
      <c r="F79" s="17" t="s">
        <v>2747</v>
      </c>
      <c r="G79" s="17"/>
      <c r="H79" s="17" t="s">
        <v>2238</v>
      </c>
      <c r="I79" s="17" t="s">
        <v>2239</v>
      </c>
      <c r="J79" s="17" t="s">
        <v>2508</v>
      </c>
      <c r="K79" s="17"/>
      <c r="L79" s="17"/>
      <c r="M79" s="17"/>
      <c r="N79" s="17" t="s">
        <v>2609</v>
      </c>
      <c r="O79" s="17"/>
      <c r="P79" s="17" t="s">
        <v>2610</v>
      </c>
      <c r="Q79" s="17" t="s">
        <v>2510</v>
      </c>
      <c r="R79" s="17" t="s">
        <v>2748</v>
      </c>
      <c r="S79" s="17" t="s">
        <v>2749</v>
      </c>
      <c r="T79" s="17"/>
      <c r="U79" s="17" t="s">
        <v>2750</v>
      </c>
      <c r="V79" s="16" t="s">
        <v>2514</v>
      </c>
      <c r="W79" s="16" t="s">
        <v>2244</v>
      </c>
      <c r="X79" s="16" t="s">
        <v>2614</v>
      </c>
      <c r="Y79" s="16"/>
      <c r="Z79" s="16"/>
      <c r="AA79" s="16"/>
      <c r="AB79" s="16"/>
      <c r="AC79" s="16"/>
      <c r="AD79" s="16"/>
      <c r="AE79" s="16"/>
      <c r="AF79" s="16" t="s">
        <v>2615</v>
      </c>
      <c r="AG79" s="16"/>
      <c r="AH79" s="16"/>
      <c r="AI79" s="16" t="s">
        <v>2616</v>
      </c>
      <c r="AJ79" s="16"/>
      <c r="AK79" s="16"/>
      <c r="AL79" s="16"/>
      <c r="AM79" s="16"/>
      <c r="AN79" s="16"/>
      <c r="AO79" s="16"/>
      <c r="AP79" s="16"/>
      <c r="AQ79" s="16"/>
      <c r="AR79" s="16"/>
      <c r="AS79" s="16" t="s">
        <v>2246</v>
      </c>
      <c r="AT79" s="16" t="s">
        <v>2617</v>
      </c>
    </row>
    <row r="80" spans="1:46" ht="37.049999999999997" customHeight="1" x14ac:dyDescent="0.3">
      <c r="A80" s="16" t="s">
        <v>2293</v>
      </c>
      <c r="B80" s="16" t="s">
        <v>3025</v>
      </c>
      <c r="C80" s="16" t="s">
        <v>2237</v>
      </c>
      <c r="D80" s="17" t="s">
        <v>3026</v>
      </c>
      <c r="E80" s="17"/>
      <c r="F80" s="17" t="s">
        <v>3027</v>
      </c>
      <c r="G80" s="17"/>
      <c r="H80" s="17" t="s">
        <v>2238</v>
      </c>
      <c r="I80" s="17" t="s">
        <v>2239</v>
      </c>
      <c r="J80" s="17" t="s">
        <v>2350</v>
      </c>
      <c r="K80" s="17" t="s">
        <v>2241</v>
      </c>
      <c r="L80" s="17"/>
      <c r="M80" s="17"/>
      <c r="N80" s="17" t="s">
        <v>2264</v>
      </c>
      <c r="O80" s="17"/>
      <c r="P80" s="17" t="s">
        <v>2253</v>
      </c>
      <c r="Q80" s="17" t="s">
        <v>2274</v>
      </c>
      <c r="R80" s="17"/>
      <c r="S80" s="17" t="s">
        <v>3028</v>
      </c>
      <c r="T80" s="17"/>
      <c r="U80" s="17" t="s">
        <v>3029</v>
      </c>
      <c r="V80" s="16"/>
      <c r="W80" s="16" t="s">
        <v>2244</v>
      </c>
      <c r="X80" s="16"/>
      <c r="Y80" s="16"/>
      <c r="Z80" s="16"/>
      <c r="AA80" s="16"/>
      <c r="AB80" s="16"/>
      <c r="AC80" s="16"/>
      <c r="AD80" s="16"/>
      <c r="AE80" s="16"/>
      <c r="AF80" s="16" t="s">
        <v>2353</v>
      </c>
      <c r="AG80" s="16"/>
      <c r="AH80" s="16"/>
      <c r="AI80" s="16" t="s">
        <v>2354</v>
      </c>
      <c r="AJ80" s="16"/>
      <c r="AK80" s="16"/>
      <c r="AL80" s="16"/>
      <c r="AM80" s="16"/>
      <c r="AN80" s="16"/>
      <c r="AO80" s="16"/>
      <c r="AP80" s="16"/>
      <c r="AQ80" s="16"/>
      <c r="AR80" s="16"/>
      <c r="AS80" s="16" t="s">
        <v>2246</v>
      </c>
      <c r="AT80" s="16" t="s">
        <v>2355</v>
      </c>
    </row>
    <row r="81" spans="1:46" ht="37.049999999999997" customHeight="1" x14ac:dyDescent="0.3">
      <c r="A81" s="16" t="s">
        <v>2323</v>
      </c>
      <c r="B81" s="16" t="s">
        <v>2861</v>
      </c>
      <c r="C81" s="16" t="s">
        <v>2237</v>
      </c>
      <c r="D81" s="17" t="s">
        <v>2862</v>
      </c>
      <c r="E81" s="17"/>
      <c r="F81" s="17" t="s">
        <v>2863</v>
      </c>
      <c r="G81" s="17"/>
      <c r="H81" s="17" t="s">
        <v>2238</v>
      </c>
      <c r="I81" s="17" t="s">
        <v>2239</v>
      </c>
      <c r="J81" s="17" t="s">
        <v>2271</v>
      </c>
      <c r="K81" s="17" t="s">
        <v>2241</v>
      </c>
      <c r="L81" s="17"/>
      <c r="M81" s="17"/>
      <c r="N81" s="17" t="s">
        <v>2848</v>
      </c>
      <c r="O81" s="17"/>
      <c r="P81" s="17" t="s">
        <v>2273</v>
      </c>
      <c r="Q81" s="17" t="s">
        <v>2274</v>
      </c>
      <c r="R81" s="17"/>
      <c r="S81" s="17"/>
      <c r="T81" s="17" t="s">
        <v>2864</v>
      </c>
      <c r="U81" s="17" t="s">
        <v>2865</v>
      </c>
      <c r="V81" s="16"/>
      <c r="W81" s="16" t="s">
        <v>2244</v>
      </c>
      <c r="X81" s="16"/>
      <c r="Y81" s="16"/>
      <c r="Z81" s="16"/>
      <c r="AA81" s="16"/>
      <c r="AB81" s="16"/>
      <c r="AC81" s="16"/>
      <c r="AD81" s="16"/>
      <c r="AE81" s="16"/>
      <c r="AF81" s="16" t="s">
        <v>2277</v>
      </c>
      <c r="AG81" s="16"/>
      <c r="AH81" s="16"/>
      <c r="AI81" s="16" t="s">
        <v>2278</v>
      </c>
      <c r="AJ81" s="16"/>
      <c r="AK81" s="16"/>
      <c r="AL81" s="16"/>
      <c r="AM81" s="16"/>
      <c r="AN81" s="16"/>
      <c r="AO81" s="16"/>
      <c r="AP81" s="16"/>
      <c r="AQ81" s="16"/>
      <c r="AR81" s="16"/>
      <c r="AS81" s="16" t="s">
        <v>2246</v>
      </c>
      <c r="AT81" s="16" t="s">
        <v>2279</v>
      </c>
    </row>
    <row r="82" spans="1:46" ht="37.049999999999997" customHeight="1" x14ac:dyDescent="0.3">
      <c r="A82" s="16" t="s">
        <v>2236</v>
      </c>
      <c r="B82" s="16" t="s">
        <v>2926</v>
      </c>
      <c r="C82" s="16" t="s">
        <v>2237</v>
      </c>
      <c r="D82" s="17" t="s">
        <v>2927</v>
      </c>
      <c r="E82" s="17"/>
      <c r="F82" s="17" t="s">
        <v>2928</v>
      </c>
      <c r="G82" s="17"/>
      <c r="H82" s="17" t="s">
        <v>2238</v>
      </c>
      <c r="I82" s="17" t="s">
        <v>2239</v>
      </c>
      <c r="J82" s="17" t="s">
        <v>2837</v>
      </c>
      <c r="K82" s="17" t="s">
        <v>2241</v>
      </c>
      <c r="L82" s="17"/>
      <c r="M82" s="17"/>
      <c r="N82" s="17" t="s">
        <v>2272</v>
      </c>
      <c r="O82" s="17"/>
      <c r="P82" s="17" t="s">
        <v>2273</v>
      </c>
      <c r="Q82" s="17" t="s">
        <v>2254</v>
      </c>
      <c r="R82" s="17"/>
      <c r="S82" s="17"/>
      <c r="T82" s="17" t="s">
        <v>2929</v>
      </c>
      <c r="U82" s="17" t="s">
        <v>2930</v>
      </c>
      <c r="V82" s="16"/>
      <c r="W82" s="16" t="s">
        <v>2244</v>
      </c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 t="s">
        <v>2839</v>
      </c>
      <c r="AJ82" s="16"/>
      <c r="AK82" s="16"/>
      <c r="AL82" s="16"/>
      <c r="AM82" s="16"/>
      <c r="AN82" s="16"/>
      <c r="AO82" s="16"/>
      <c r="AP82" s="16"/>
      <c r="AQ82" s="16"/>
      <c r="AR82" s="16"/>
      <c r="AS82" s="16" t="s">
        <v>2246</v>
      </c>
      <c r="AT82" s="16" t="s">
        <v>2840</v>
      </c>
    </row>
    <row r="83" spans="1:46" ht="37.049999999999997" customHeight="1" x14ac:dyDescent="0.3">
      <c r="A83" s="16" t="s">
        <v>2316</v>
      </c>
      <c r="B83" s="16" t="s">
        <v>2950</v>
      </c>
      <c r="C83" s="16" t="s">
        <v>2237</v>
      </c>
      <c r="D83" s="17" t="s">
        <v>2951</v>
      </c>
      <c r="E83" s="17"/>
      <c r="F83" s="17" t="s">
        <v>2952</v>
      </c>
      <c r="G83" s="17"/>
      <c r="H83" s="17"/>
      <c r="I83" s="17" t="s">
        <v>2239</v>
      </c>
      <c r="J83" s="17" t="s">
        <v>2881</v>
      </c>
      <c r="K83" s="17"/>
      <c r="L83" s="17"/>
      <c r="M83" s="17"/>
      <c r="N83" s="17"/>
      <c r="O83" s="17"/>
      <c r="P83" s="17" t="s">
        <v>2242</v>
      </c>
      <c r="Q83" s="17"/>
      <c r="R83" s="17" t="s">
        <v>2953</v>
      </c>
      <c r="S83" s="17" t="s">
        <v>2954</v>
      </c>
      <c r="T83" s="17"/>
      <c r="U83" s="17" t="s">
        <v>2955</v>
      </c>
      <c r="V83" s="16" t="s">
        <v>2795</v>
      </c>
      <c r="W83" s="16" t="s">
        <v>2244</v>
      </c>
      <c r="X83" s="16"/>
      <c r="Y83" s="16"/>
      <c r="Z83" s="16"/>
      <c r="AA83" s="16"/>
      <c r="AB83" s="16"/>
      <c r="AC83" s="16"/>
      <c r="AD83" s="16"/>
      <c r="AE83" s="16"/>
      <c r="AF83" s="16" t="s">
        <v>2245</v>
      </c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 t="s">
        <v>2246</v>
      </c>
      <c r="AT83" s="16" t="s">
        <v>2883</v>
      </c>
    </row>
    <row r="84" spans="1:46" ht="37.049999999999997" customHeight="1" x14ac:dyDescent="0.3">
      <c r="A84" s="16" t="s">
        <v>2751</v>
      </c>
      <c r="B84" s="16" t="s">
        <v>2752</v>
      </c>
      <c r="C84" s="16" t="s">
        <v>2237</v>
      </c>
      <c r="D84" s="17" t="s">
        <v>2753</v>
      </c>
      <c r="E84" s="17"/>
      <c r="F84" s="17" t="s">
        <v>2754</v>
      </c>
      <c r="G84" s="17"/>
      <c r="H84" s="17" t="s">
        <v>2238</v>
      </c>
      <c r="I84" s="17" t="s">
        <v>2239</v>
      </c>
      <c r="J84" s="17" t="s">
        <v>2508</v>
      </c>
      <c r="K84" s="17"/>
      <c r="L84" s="17"/>
      <c r="M84" s="17"/>
      <c r="N84" s="17" t="s">
        <v>2609</v>
      </c>
      <c r="O84" s="17"/>
      <c r="P84" s="17" t="s">
        <v>2610</v>
      </c>
      <c r="Q84" s="17" t="s">
        <v>2510</v>
      </c>
      <c r="R84" s="17" t="s">
        <v>2755</v>
      </c>
      <c r="S84" s="17" t="s">
        <v>2756</v>
      </c>
      <c r="T84" s="17"/>
      <c r="U84" s="17" t="s">
        <v>2757</v>
      </c>
      <c r="V84" s="16" t="s">
        <v>2514</v>
      </c>
      <c r="W84" s="16" t="s">
        <v>2244</v>
      </c>
      <c r="X84" s="16" t="s">
        <v>2614</v>
      </c>
      <c r="Y84" s="16"/>
      <c r="Z84" s="16"/>
      <c r="AA84" s="16"/>
      <c r="AB84" s="16"/>
      <c r="AC84" s="16"/>
      <c r="AD84" s="16"/>
      <c r="AE84" s="16"/>
      <c r="AF84" s="16" t="s">
        <v>2615</v>
      </c>
      <c r="AG84" s="16"/>
      <c r="AH84" s="16"/>
      <c r="AI84" s="16" t="s">
        <v>2616</v>
      </c>
      <c r="AJ84" s="16"/>
      <c r="AK84" s="16"/>
      <c r="AL84" s="16"/>
      <c r="AM84" s="16"/>
      <c r="AN84" s="16"/>
      <c r="AO84" s="16"/>
      <c r="AP84" s="16"/>
      <c r="AQ84" s="16"/>
      <c r="AR84" s="16"/>
      <c r="AS84" s="16" t="s">
        <v>2246</v>
      </c>
      <c r="AT84" s="16" t="s">
        <v>2617</v>
      </c>
    </row>
    <row r="85" spans="1:46" ht="37.049999999999997" customHeight="1" x14ac:dyDescent="0.3">
      <c r="A85" s="16" t="s">
        <v>2439</v>
      </c>
      <c r="B85" s="16" t="s">
        <v>2440</v>
      </c>
      <c r="C85" s="16" t="s">
        <v>2237</v>
      </c>
      <c r="D85" s="17" t="s">
        <v>2441</v>
      </c>
      <c r="E85" s="17"/>
      <c r="F85" s="17" t="s">
        <v>2442</v>
      </c>
      <c r="G85" s="17"/>
      <c r="H85" s="17" t="s">
        <v>2238</v>
      </c>
      <c r="I85" s="17" t="s">
        <v>2239</v>
      </c>
      <c r="J85" s="17" t="s">
        <v>2365</v>
      </c>
      <c r="K85" s="17" t="s">
        <v>2241</v>
      </c>
      <c r="L85" s="17"/>
      <c r="M85" s="17"/>
      <c r="N85" s="17" t="s">
        <v>2252</v>
      </c>
      <c r="O85" s="17"/>
      <c r="P85" s="17" t="s">
        <v>2253</v>
      </c>
      <c r="Q85" s="17" t="s">
        <v>2254</v>
      </c>
      <c r="R85" s="17"/>
      <c r="S85" s="17" t="s">
        <v>2443</v>
      </c>
      <c r="T85" s="17"/>
      <c r="U85" s="17" t="s">
        <v>448</v>
      </c>
      <c r="V85" s="16"/>
      <c r="W85" s="16" t="s">
        <v>2244</v>
      </c>
      <c r="X85" s="16"/>
      <c r="Y85" s="16"/>
      <c r="Z85" s="16"/>
      <c r="AA85" s="16"/>
      <c r="AB85" s="16"/>
      <c r="AC85" s="16"/>
      <c r="AD85" s="16"/>
      <c r="AE85" s="16"/>
      <c r="AF85" s="16" t="s">
        <v>2370</v>
      </c>
      <c r="AG85" s="16"/>
      <c r="AH85" s="16"/>
      <c r="AI85" s="16" t="s">
        <v>2371</v>
      </c>
      <c r="AJ85" s="16"/>
      <c r="AK85" s="16"/>
      <c r="AL85" s="16"/>
      <c r="AM85" s="16"/>
      <c r="AN85" s="16"/>
      <c r="AO85" s="16"/>
      <c r="AP85" s="16"/>
      <c r="AQ85" s="16"/>
      <c r="AR85" s="16"/>
      <c r="AS85" s="16" t="s">
        <v>2246</v>
      </c>
      <c r="AT85" s="16" t="s">
        <v>2438</v>
      </c>
    </row>
    <row r="86" spans="1:46" ht="37.049999999999997" customHeight="1" x14ac:dyDescent="0.3">
      <c r="A86" s="16" t="s">
        <v>2340</v>
      </c>
      <c r="B86" s="16" t="s">
        <v>2341</v>
      </c>
      <c r="C86" s="16" t="s">
        <v>2237</v>
      </c>
      <c r="D86" s="17" t="s">
        <v>2342</v>
      </c>
      <c r="E86" s="17"/>
      <c r="F86" s="17" t="s">
        <v>2343</v>
      </c>
      <c r="G86" s="17"/>
      <c r="H86" s="17" t="s">
        <v>2304</v>
      </c>
      <c r="I86" s="17" t="s">
        <v>2305</v>
      </c>
      <c r="J86" s="17" t="s">
        <v>2306</v>
      </c>
      <c r="K86" s="17" t="s">
        <v>2241</v>
      </c>
      <c r="L86" s="17"/>
      <c r="M86" s="17"/>
      <c r="N86" s="17" t="s">
        <v>2272</v>
      </c>
      <c r="O86" s="17"/>
      <c r="P86" s="17" t="s">
        <v>2273</v>
      </c>
      <c r="Q86" s="17" t="s">
        <v>2307</v>
      </c>
      <c r="R86" s="17"/>
      <c r="S86" s="17"/>
      <c r="T86" s="17" t="s">
        <v>2344</v>
      </c>
      <c r="U86" s="17" t="s">
        <v>2328</v>
      </c>
      <c r="V86" s="16"/>
      <c r="W86" s="16" t="s">
        <v>2244</v>
      </c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 t="s">
        <v>2309</v>
      </c>
      <c r="AJ86" s="16"/>
      <c r="AK86" s="16"/>
      <c r="AL86" s="16"/>
      <c r="AM86" s="16"/>
      <c r="AN86" s="16"/>
      <c r="AO86" s="16"/>
      <c r="AP86" s="16"/>
      <c r="AQ86" s="16"/>
      <c r="AR86" s="16"/>
      <c r="AS86" s="16" t="s">
        <v>2246</v>
      </c>
      <c r="AT86" s="16" t="s">
        <v>2345</v>
      </c>
    </row>
    <row r="87" spans="1:46" ht="37.049999999999997" customHeight="1" x14ac:dyDescent="0.3">
      <c r="A87" s="16" t="s">
        <v>2758</v>
      </c>
      <c r="B87" s="16" t="s">
        <v>2759</v>
      </c>
      <c r="C87" s="16" t="s">
        <v>2237</v>
      </c>
      <c r="D87" s="17" t="s">
        <v>2760</v>
      </c>
      <c r="E87" s="17"/>
      <c r="F87" s="17" t="s">
        <v>2761</v>
      </c>
      <c r="G87" s="17"/>
      <c r="H87" s="17" t="s">
        <v>2238</v>
      </c>
      <c r="I87" s="17" t="s">
        <v>2239</v>
      </c>
      <c r="J87" s="17" t="s">
        <v>2508</v>
      </c>
      <c r="K87" s="17"/>
      <c r="L87" s="17"/>
      <c r="M87" s="17"/>
      <c r="N87" s="17" t="s">
        <v>2609</v>
      </c>
      <c r="O87" s="17"/>
      <c r="P87" s="17" t="s">
        <v>2610</v>
      </c>
      <c r="Q87" s="17" t="s">
        <v>2510</v>
      </c>
      <c r="R87" s="17" t="s">
        <v>2681</v>
      </c>
      <c r="S87" s="17"/>
      <c r="T87" s="17"/>
      <c r="U87" s="17" t="s">
        <v>2762</v>
      </c>
      <c r="V87" s="16" t="s">
        <v>2569</v>
      </c>
      <c r="W87" s="16" t="s">
        <v>2244</v>
      </c>
      <c r="X87" s="16"/>
      <c r="Y87" s="16"/>
      <c r="Z87" s="16"/>
      <c r="AA87" s="16"/>
      <c r="AB87" s="16"/>
      <c r="AC87" s="16"/>
      <c r="AD87" s="16"/>
      <c r="AE87" s="16"/>
      <c r="AF87" s="16" t="s">
        <v>2615</v>
      </c>
      <c r="AG87" s="16"/>
      <c r="AH87" s="16"/>
      <c r="AI87" s="16" t="s">
        <v>2616</v>
      </c>
      <c r="AJ87" s="16"/>
      <c r="AK87" s="16"/>
      <c r="AL87" s="16"/>
      <c r="AM87" s="16"/>
      <c r="AN87" s="16"/>
      <c r="AO87" s="16"/>
      <c r="AP87" s="16"/>
      <c r="AQ87" s="16"/>
      <c r="AR87" s="16"/>
      <c r="AS87" s="16" t="s">
        <v>2246</v>
      </c>
      <c r="AT87" s="16" t="s">
        <v>2617</v>
      </c>
    </row>
    <row r="88" spans="1:46" ht="37.049999999999997" customHeight="1" x14ac:dyDescent="0.3">
      <c r="A88" s="16" t="s">
        <v>2287</v>
      </c>
      <c r="B88" s="16" t="s">
        <v>3021</v>
      </c>
      <c r="C88" s="16" t="s">
        <v>2237</v>
      </c>
      <c r="D88" s="17" t="s">
        <v>3022</v>
      </c>
      <c r="E88" s="17"/>
      <c r="F88" s="17" t="s">
        <v>3023</v>
      </c>
      <c r="G88" s="17"/>
      <c r="H88" s="17" t="s">
        <v>2238</v>
      </c>
      <c r="I88" s="17" t="s">
        <v>2239</v>
      </c>
      <c r="J88" s="17" t="s">
        <v>2263</v>
      </c>
      <c r="K88" s="17" t="s">
        <v>2241</v>
      </c>
      <c r="L88" s="17"/>
      <c r="M88" s="17"/>
      <c r="N88" s="17" t="s">
        <v>2264</v>
      </c>
      <c r="O88" s="17"/>
      <c r="P88" s="17" t="s">
        <v>2253</v>
      </c>
      <c r="Q88" s="17" t="s">
        <v>2254</v>
      </c>
      <c r="R88" s="17"/>
      <c r="S88" s="17" t="s">
        <v>3024</v>
      </c>
      <c r="T88" s="17"/>
      <c r="U88" s="17" t="s">
        <v>2256</v>
      </c>
      <c r="V88" s="16"/>
      <c r="W88" s="16" t="s">
        <v>2244</v>
      </c>
      <c r="X88" s="16"/>
      <c r="Y88" s="16"/>
      <c r="Z88" s="16"/>
      <c r="AA88" s="16"/>
      <c r="AB88" s="16"/>
      <c r="AC88" s="16"/>
      <c r="AD88" s="16"/>
      <c r="AE88" s="16"/>
      <c r="AF88" s="16" t="s">
        <v>2257</v>
      </c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 t="s">
        <v>2246</v>
      </c>
      <c r="AT88" s="16" t="s">
        <v>2258</v>
      </c>
    </row>
    <row r="89" spans="1:46" ht="37.049999999999997" customHeight="1" x14ac:dyDescent="0.3">
      <c r="A89" s="16" t="s">
        <v>2543</v>
      </c>
      <c r="B89" s="16" t="s">
        <v>2544</v>
      </c>
      <c r="C89" s="16" t="s">
        <v>2237</v>
      </c>
      <c r="D89" s="17" t="s">
        <v>2545</v>
      </c>
      <c r="E89" s="17"/>
      <c r="F89" s="17" t="s">
        <v>2546</v>
      </c>
      <c r="G89" s="17"/>
      <c r="H89" s="17" t="s">
        <v>2238</v>
      </c>
      <c r="I89" s="17" t="s">
        <v>2239</v>
      </c>
      <c r="J89" s="17" t="s">
        <v>2507</v>
      </c>
      <c r="K89" s="17" t="s">
        <v>2508</v>
      </c>
      <c r="L89" s="17"/>
      <c r="M89" s="17"/>
      <c r="N89" s="17" t="s">
        <v>2264</v>
      </c>
      <c r="O89" s="17"/>
      <c r="P89" s="17" t="s">
        <v>2509</v>
      </c>
      <c r="Q89" s="17" t="s">
        <v>2510</v>
      </c>
      <c r="R89" s="17" t="s">
        <v>2547</v>
      </c>
      <c r="S89" s="17" t="s">
        <v>2548</v>
      </c>
      <c r="T89" s="17"/>
      <c r="U89" s="17" t="s">
        <v>2549</v>
      </c>
      <c r="V89" s="16" t="s">
        <v>2514</v>
      </c>
      <c r="W89" s="16" t="s">
        <v>2244</v>
      </c>
      <c r="X89" s="16"/>
      <c r="Y89" s="16"/>
      <c r="Z89" s="16"/>
      <c r="AA89" s="16"/>
      <c r="AB89" s="16"/>
      <c r="AC89" s="16"/>
      <c r="AD89" s="16"/>
      <c r="AE89" s="16"/>
      <c r="AF89" s="16" t="s">
        <v>2515</v>
      </c>
      <c r="AG89" s="16"/>
      <c r="AH89" s="16"/>
      <c r="AI89" s="16" t="s">
        <v>2516</v>
      </c>
      <c r="AJ89" s="16" t="s">
        <v>2517</v>
      </c>
      <c r="AK89" s="16"/>
      <c r="AL89" s="16"/>
      <c r="AM89" s="16"/>
      <c r="AN89" s="16"/>
      <c r="AO89" s="16"/>
      <c r="AP89" s="16"/>
      <c r="AQ89" s="16"/>
      <c r="AR89" s="16"/>
      <c r="AS89" s="16" t="s">
        <v>2246</v>
      </c>
      <c r="AT89" s="16" t="s">
        <v>2527</v>
      </c>
    </row>
    <row r="90" spans="1:46" ht="37.049999999999997" customHeight="1" x14ac:dyDescent="0.3">
      <c r="A90" s="16" t="s">
        <v>2763</v>
      </c>
      <c r="B90" s="16" t="s">
        <v>2764</v>
      </c>
      <c r="C90" s="16" t="s">
        <v>2237</v>
      </c>
      <c r="D90" s="17" t="s">
        <v>2765</v>
      </c>
      <c r="E90" s="17"/>
      <c r="F90" s="17" t="s">
        <v>2766</v>
      </c>
      <c r="G90" s="17"/>
      <c r="H90" s="17" t="s">
        <v>2238</v>
      </c>
      <c r="I90" s="17" t="s">
        <v>2239</v>
      </c>
      <c r="J90" s="17" t="s">
        <v>2508</v>
      </c>
      <c r="K90" s="17"/>
      <c r="L90" s="17"/>
      <c r="M90" s="17"/>
      <c r="N90" s="17" t="s">
        <v>2609</v>
      </c>
      <c r="O90" s="17"/>
      <c r="P90" s="17" t="s">
        <v>2610</v>
      </c>
      <c r="Q90" s="17" t="s">
        <v>2510</v>
      </c>
      <c r="R90" s="17" t="s">
        <v>2713</v>
      </c>
      <c r="S90" s="17" t="s">
        <v>2767</v>
      </c>
      <c r="T90" s="17"/>
      <c r="U90" s="17" t="s">
        <v>2768</v>
      </c>
      <c r="V90" s="16" t="s">
        <v>2569</v>
      </c>
      <c r="W90" s="16" t="s">
        <v>2244</v>
      </c>
      <c r="X90" s="16"/>
      <c r="Y90" s="16"/>
      <c r="Z90" s="16"/>
      <c r="AA90" s="16"/>
      <c r="AB90" s="16"/>
      <c r="AC90" s="16"/>
      <c r="AD90" s="16"/>
      <c r="AE90" s="16"/>
      <c r="AF90" s="16" t="s">
        <v>2615</v>
      </c>
      <c r="AG90" s="16"/>
      <c r="AH90" s="16"/>
      <c r="AI90" s="16" t="s">
        <v>2616</v>
      </c>
      <c r="AJ90" s="16"/>
      <c r="AK90" s="16"/>
      <c r="AL90" s="16"/>
      <c r="AM90" s="16"/>
      <c r="AN90" s="16"/>
      <c r="AO90" s="16"/>
      <c r="AP90" s="16"/>
      <c r="AQ90" s="16"/>
      <c r="AR90" s="16"/>
      <c r="AS90" s="16" t="s">
        <v>2246</v>
      </c>
      <c r="AT90" s="16" t="s">
        <v>2617</v>
      </c>
    </row>
    <row r="91" spans="1:46" ht="37.049999999999997" customHeight="1" x14ac:dyDescent="0.3">
      <c r="A91" s="16" t="s">
        <v>2769</v>
      </c>
      <c r="B91" s="16" t="s">
        <v>2770</v>
      </c>
      <c r="C91" s="16" t="s">
        <v>2237</v>
      </c>
      <c r="D91" s="17" t="s">
        <v>2771</v>
      </c>
      <c r="E91" s="17"/>
      <c r="F91" s="17" t="s">
        <v>2772</v>
      </c>
      <c r="G91" s="17"/>
      <c r="H91" s="17" t="s">
        <v>2238</v>
      </c>
      <c r="I91" s="17" t="s">
        <v>2239</v>
      </c>
      <c r="J91" s="17" t="s">
        <v>2508</v>
      </c>
      <c r="K91" s="17"/>
      <c r="L91" s="17"/>
      <c r="M91" s="17"/>
      <c r="N91" s="17" t="s">
        <v>2609</v>
      </c>
      <c r="O91" s="17"/>
      <c r="P91" s="17" t="s">
        <v>2610</v>
      </c>
      <c r="Q91" s="17" t="s">
        <v>2510</v>
      </c>
      <c r="R91" s="17" t="s">
        <v>2773</v>
      </c>
      <c r="S91" s="17" t="s">
        <v>2774</v>
      </c>
      <c r="T91" s="17"/>
      <c r="U91" s="17" t="s">
        <v>2775</v>
      </c>
      <c r="V91" s="16" t="s">
        <v>2569</v>
      </c>
      <c r="W91" s="16" t="s">
        <v>2244</v>
      </c>
      <c r="X91" s="16" t="s">
        <v>2614</v>
      </c>
      <c r="Y91" s="16"/>
      <c r="Z91" s="16"/>
      <c r="AA91" s="16"/>
      <c r="AB91" s="16"/>
      <c r="AC91" s="16"/>
      <c r="AD91" s="16"/>
      <c r="AE91" s="16"/>
      <c r="AF91" s="16" t="s">
        <v>2615</v>
      </c>
      <c r="AG91" s="16"/>
      <c r="AH91" s="16"/>
      <c r="AI91" s="16" t="s">
        <v>2616</v>
      </c>
      <c r="AJ91" s="16"/>
      <c r="AK91" s="16"/>
      <c r="AL91" s="16"/>
      <c r="AM91" s="16"/>
      <c r="AN91" s="16"/>
      <c r="AO91" s="16"/>
      <c r="AP91" s="16"/>
      <c r="AQ91" s="16"/>
      <c r="AR91" s="16"/>
      <c r="AS91" s="16" t="s">
        <v>2246</v>
      </c>
      <c r="AT91" s="16" t="s">
        <v>2617</v>
      </c>
    </row>
    <row r="92" spans="1:46" ht="37.049999999999997" customHeight="1" x14ac:dyDescent="0.3">
      <c r="A92" s="16" t="s">
        <v>2361</v>
      </c>
      <c r="B92" s="16" t="s">
        <v>2362</v>
      </c>
      <c r="C92" s="16" t="s">
        <v>2237</v>
      </c>
      <c r="D92" s="17" t="s">
        <v>2363</v>
      </c>
      <c r="E92" s="17"/>
      <c r="F92" s="17" t="s">
        <v>2364</v>
      </c>
      <c r="G92" s="17"/>
      <c r="H92" s="17" t="s">
        <v>2238</v>
      </c>
      <c r="I92" s="17" t="s">
        <v>2239</v>
      </c>
      <c r="J92" s="17" t="s">
        <v>2365</v>
      </c>
      <c r="K92" s="17" t="s">
        <v>2366</v>
      </c>
      <c r="L92" s="17"/>
      <c r="M92" s="17"/>
      <c r="N92" s="17" t="s">
        <v>2367</v>
      </c>
      <c r="O92" s="17"/>
      <c r="P92" s="17" t="s">
        <v>2253</v>
      </c>
      <c r="Q92" s="17" t="s">
        <v>2254</v>
      </c>
      <c r="R92" s="17"/>
      <c r="S92" s="17" t="s">
        <v>2368</v>
      </c>
      <c r="T92" s="17"/>
      <c r="U92" s="17" t="s">
        <v>2369</v>
      </c>
      <c r="V92" s="16"/>
      <c r="W92" s="16" t="s">
        <v>2244</v>
      </c>
      <c r="X92" s="16"/>
      <c r="Y92" s="16"/>
      <c r="Z92" s="16"/>
      <c r="AA92" s="16"/>
      <c r="AB92" s="16"/>
      <c r="AC92" s="16"/>
      <c r="AD92" s="16"/>
      <c r="AE92" s="16"/>
      <c r="AF92" s="16" t="s">
        <v>2370</v>
      </c>
      <c r="AG92" s="16"/>
      <c r="AH92" s="16"/>
      <c r="AI92" s="16" t="s">
        <v>2371</v>
      </c>
      <c r="AJ92" s="16"/>
      <c r="AK92" s="16"/>
      <c r="AL92" s="16"/>
      <c r="AM92" s="16"/>
      <c r="AN92" s="16"/>
      <c r="AO92" s="16"/>
      <c r="AP92" s="16"/>
      <c r="AQ92" s="16"/>
      <c r="AR92" s="16"/>
      <c r="AS92" s="16" t="s">
        <v>2246</v>
      </c>
      <c r="AT92" s="16" t="s">
        <v>2372</v>
      </c>
    </row>
    <row r="93" spans="1:46" ht="37.049999999999997" customHeight="1" x14ac:dyDescent="0.3">
      <c r="A93" s="16" t="s">
        <v>2453</v>
      </c>
      <c r="B93" s="16" t="s">
        <v>2454</v>
      </c>
      <c r="C93" s="16" t="s">
        <v>2237</v>
      </c>
      <c r="D93" s="17" t="s">
        <v>2455</v>
      </c>
      <c r="E93" s="17"/>
      <c r="F93" s="17" t="s">
        <v>2456</v>
      </c>
      <c r="G93" s="17"/>
      <c r="H93" s="17" t="s">
        <v>2238</v>
      </c>
      <c r="I93" s="17" t="s">
        <v>2239</v>
      </c>
      <c r="J93" s="17" t="s">
        <v>2457</v>
      </c>
      <c r="K93" s="17" t="s">
        <v>2241</v>
      </c>
      <c r="L93" s="17"/>
      <c r="M93" s="17"/>
      <c r="N93" s="17" t="s">
        <v>2389</v>
      </c>
      <c r="O93" s="17"/>
      <c r="P93" s="17" t="s">
        <v>2458</v>
      </c>
      <c r="Q93" s="17" t="s">
        <v>2450</v>
      </c>
      <c r="R93" s="17"/>
      <c r="S93" s="17" t="s">
        <v>2459</v>
      </c>
      <c r="T93" s="17"/>
      <c r="U93" s="17" t="s">
        <v>2460</v>
      </c>
      <c r="V93" s="16"/>
      <c r="W93" s="16" t="s">
        <v>2244</v>
      </c>
      <c r="X93" s="16" t="s">
        <v>2236</v>
      </c>
      <c r="Y93" s="16"/>
      <c r="Z93" s="16"/>
      <c r="AA93" s="16"/>
      <c r="AB93" s="16"/>
      <c r="AC93" s="16"/>
      <c r="AD93" s="16"/>
      <c r="AE93" s="16"/>
      <c r="AF93" s="16" t="s">
        <v>2452</v>
      </c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 t="s">
        <v>2246</v>
      </c>
      <c r="AT93" s="16" t="s">
        <v>2461</v>
      </c>
    </row>
    <row r="94" spans="1:46" ht="37.049999999999997" customHeight="1" x14ac:dyDescent="0.3">
      <c r="A94" s="16" t="s">
        <v>2776</v>
      </c>
      <c r="B94" s="16" t="s">
        <v>2777</v>
      </c>
      <c r="C94" s="16" t="s">
        <v>2237</v>
      </c>
      <c r="D94" s="17" t="s">
        <v>2778</v>
      </c>
      <c r="E94" s="17"/>
      <c r="F94" s="17" t="s">
        <v>2779</v>
      </c>
      <c r="G94" s="17"/>
      <c r="H94" s="17" t="s">
        <v>2238</v>
      </c>
      <c r="I94" s="17" t="s">
        <v>2239</v>
      </c>
      <c r="J94" s="17" t="s">
        <v>2508</v>
      </c>
      <c r="K94" s="17"/>
      <c r="L94" s="17"/>
      <c r="M94" s="17"/>
      <c r="N94" s="17" t="s">
        <v>2609</v>
      </c>
      <c r="O94" s="17"/>
      <c r="P94" s="17" t="s">
        <v>2610</v>
      </c>
      <c r="Q94" s="17" t="s">
        <v>2510</v>
      </c>
      <c r="R94" s="17" t="s">
        <v>2654</v>
      </c>
      <c r="S94" s="17" t="s">
        <v>2780</v>
      </c>
      <c r="T94" s="17"/>
      <c r="U94" s="17" t="s">
        <v>2781</v>
      </c>
      <c r="V94" s="16" t="s">
        <v>2782</v>
      </c>
      <c r="W94" s="16" t="s">
        <v>2244</v>
      </c>
      <c r="X94" s="16" t="s">
        <v>2614</v>
      </c>
      <c r="Y94" s="16"/>
      <c r="Z94" s="16"/>
      <c r="AA94" s="16"/>
      <c r="AB94" s="16"/>
      <c r="AC94" s="16"/>
      <c r="AD94" s="16"/>
      <c r="AE94" s="16"/>
      <c r="AF94" s="16" t="s">
        <v>2615</v>
      </c>
      <c r="AG94" s="16"/>
      <c r="AH94" s="16"/>
      <c r="AI94" s="16" t="s">
        <v>2616</v>
      </c>
      <c r="AJ94" s="16"/>
      <c r="AK94" s="16"/>
      <c r="AL94" s="16"/>
      <c r="AM94" s="16"/>
      <c r="AN94" s="16"/>
      <c r="AO94" s="16"/>
      <c r="AP94" s="16"/>
      <c r="AQ94" s="16"/>
      <c r="AR94" s="16"/>
      <c r="AS94" s="16" t="s">
        <v>2246</v>
      </c>
      <c r="AT94" s="16" t="s">
        <v>2617</v>
      </c>
    </row>
    <row r="95" spans="1:46" ht="37.049999999999997" customHeight="1" x14ac:dyDescent="0.3">
      <c r="A95" s="16" t="s">
        <v>2432</v>
      </c>
      <c r="B95" s="16" t="s">
        <v>2916</v>
      </c>
      <c r="C95" s="16" t="s">
        <v>2237</v>
      </c>
      <c r="D95" s="17" t="s">
        <v>2917</v>
      </c>
      <c r="E95" s="17"/>
      <c r="F95" s="17" t="s">
        <v>2918</v>
      </c>
      <c r="G95" s="17"/>
      <c r="H95" s="17" t="s">
        <v>2238</v>
      </c>
      <c r="I95" s="17" t="s">
        <v>2239</v>
      </c>
      <c r="J95" s="17" t="s">
        <v>2562</v>
      </c>
      <c r="K95" s="17"/>
      <c r="L95" s="17"/>
      <c r="M95" s="17"/>
      <c r="N95" s="17" t="s">
        <v>2272</v>
      </c>
      <c r="O95" s="17" t="s">
        <v>2563</v>
      </c>
      <c r="P95" s="17" t="s">
        <v>2564</v>
      </c>
      <c r="Q95" s="17" t="s">
        <v>2565</v>
      </c>
      <c r="R95" s="17" t="s">
        <v>2589</v>
      </c>
      <c r="S95" s="17" t="s">
        <v>2919</v>
      </c>
      <c r="T95" s="17"/>
      <c r="U95" s="17" t="s">
        <v>2920</v>
      </c>
      <c r="V95" s="16" t="s">
        <v>2514</v>
      </c>
      <c r="W95" s="16" t="s">
        <v>2244</v>
      </c>
      <c r="X95" s="16"/>
      <c r="Y95" s="16"/>
      <c r="Z95" s="16"/>
      <c r="AA95" s="16" t="s">
        <v>2570</v>
      </c>
      <c r="AB95" s="16"/>
      <c r="AC95" s="16"/>
      <c r="AD95" s="16"/>
      <c r="AE95" s="16"/>
      <c r="AF95" s="16" t="s">
        <v>2571</v>
      </c>
      <c r="AG95" s="16"/>
      <c r="AH95" s="16"/>
      <c r="AI95" s="16" t="s">
        <v>2572</v>
      </c>
      <c r="AJ95" s="16"/>
      <c r="AK95" s="16"/>
      <c r="AL95" s="16"/>
      <c r="AM95" s="16"/>
      <c r="AN95" s="16"/>
      <c r="AO95" s="16"/>
      <c r="AP95" s="16"/>
      <c r="AQ95" s="16"/>
      <c r="AR95" s="16"/>
      <c r="AS95" s="16" t="s">
        <v>2246</v>
      </c>
      <c r="AT95" s="16" t="s">
        <v>2573</v>
      </c>
    </row>
    <row r="96" spans="1:46" ht="37.049999999999997" customHeight="1" x14ac:dyDescent="0.3">
      <c r="A96" s="16" t="s">
        <v>2783</v>
      </c>
      <c r="B96" s="16" t="s">
        <v>2784</v>
      </c>
      <c r="C96" s="16" t="s">
        <v>2237</v>
      </c>
      <c r="D96" s="17" t="s">
        <v>2785</v>
      </c>
      <c r="E96" s="17"/>
      <c r="F96" s="17" t="s">
        <v>2786</v>
      </c>
      <c r="G96" s="17"/>
      <c r="H96" s="17" t="s">
        <v>2238</v>
      </c>
      <c r="I96" s="17" t="s">
        <v>2239</v>
      </c>
      <c r="J96" s="17" t="s">
        <v>2508</v>
      </c>
      <c r="K96" s="17"/>
      <c r="L96" s="17"/>
      <c r="M96" s="17"/>
      <c r="N96" s="17" t="s">
        <v>2609</v>
      </c>
      <c r="O96" s="17"/>
      <c r="P96" s="17" t="s">
        <v>2610</v>
      </c>
      <c r="Q96" s="17" t="s">
        <v>2510</v>
      </c>
      <c r="R96" s="17" t="s">
        <v>2713</v>
      </c>
      <c r="S96" s="17"/>
      <c r="T96" s="17"/>
      <c r="U96" s="17" t="s">
        <v>2787</v>
      </c>
      <c r="V96" s="16" t="s">
        <v>2569</v>
      </c>
      <c r="W96" s="16" t="s">
        <v>2244</v>
      </c>
      <c r="X96" s="16"/>
      <c r="Y96" s="16"/>
      <c r="Z96" s="16"/>
      <c r="AA96" s="16"/>
      <c r="AB96" s="16"/>
      <c r="AC96" s="16"/>
      <c r="AD96" s="16"/>
      <c r="AE96" s="16"/>
      <c r="AF96" s="16" t="s">
        <v>2615</v>
      </c>
      <c r="AG96" s="16"/>
      <c r="AH96" s="16"/>
      <c r="AI96" s="16" t="s">
        <v>2616</v>
      </c>
      <c r="AJ96" s="16"/>
      <c r="AK96" s="16"/>
      <c r="AL96" s="16"/>
      <c r="AM96" s="16"/>
      <c r="AN96" s="16"/>
      <c r="AO96" s="16"/>
      <c r="AP96" s="16"/>
      <c r="AQ96" s="16"/>
      <c r="AR96" s="16"/>
      <c r="AS96" s="16" t="s">
        <v>2246</v>
      </c>
      <c r="AT96" s="16" t="s">
        <v>2617</v>
      </c>
    </row>
    <row r="97" spans="1:46" ht="37.049999999999997" customHeight="1" x14ac:dyDescent="0.3">
      <c r="A97" s="16" t="s">
        <v>2300</v>
      </c>
      <c r="B97" s="16" t="s">
        <v>2301</v>
      </c>
      <c r="C97" s="16" t="s">
        <v>2237</v>
      </c>
      <c r="D97" s="17" t="s">
        <v>2302</v>
      </c>
      <c r="E97" s="17"/>
      <c r="F97" s="17" t="s">
        <v>2303</v>
      </c>
      <c r="G97" s="17"/>
      <c r="H97" s="17" t="s">
        <v>2304</v>
      </c>
      <c r="I97" s="17" t="s">
        <v>2305</v>
      </c>
      <c r="J97" s="17" t="s">
        <v>2306</v>
      </c>
      <c r="K97" s="17" t="s">
        <v>2241</v>
      </c>
      <c r="L97" s="17"/>
      <c r="M97" s="17"/>
      <c r="N97" s="17" t="s">
        <v>2272</v>
      </c>
      <c r="O97" s="17"/>
      <c r="P97" s="17" t="s">
        <v>2273</v>
      </c>
      <c r="Q97" s="17" t="s">
        <v>2307</v>
      </c>
      <c r="R97" s="17"/>
      <c r="S97" s="17"/>
      <c r="T97" s="17" t="s">
        <v>2308</v>
      </c>
      <c r="U97" s="17" t="s">
        <v>2298</v>
      </c>
      <c r="V97" s="16"/>
      <c r="W97" s="16" t="s">
        <v>2244</v>
      </c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 t="s">
        <v>2309</v>
      </c>
      <c r="AJ97" s="16"/>
      <c r="AK97" s="16"/>
      <c r="AL97" s="16"/>
      <c r="AM97" s="16"/>
      <c r="AN97" s="16"/>
      <c r="AO97" s="16"/>
      <c r="AP97" s="16"/>
      <c r="AQ97" s="16"/>
      <c r="AR97" s="16"/>
      <c r="AS97" s="16" t="s">
        <v>2246</v>
      </c>
      <c r="AT97" s="16" t="s">
        <v>2279</v>
      </c>
    </row>
    <row r="98" spans="1:46" ht="37.049999999999997" customHeight="1" x14ac:dyDescent="0.3">
      <c r="A98" s="16" t="s">
        <v>2259</v>
      </c>
      <c r="B98" s="16" t="s">
        <v>2991</v>
      </c>
      <c r="C98" s="16" t="s">
        <v>2237</v>
      </c>
      <c r="D98" s="17" t="s">
        <v>2992</v>
      </c>
      <c r="E98" s="17"/>
      <c r="F98" s="17" t="s">
        <v>2993</v>
      </c>
      <c r="G98" s="17"/>
      <c r="H98" s="17" t="s">
        <v>2238</v>
      </c>
      <c r="I98" s="17" t="s">
        <v>2239</v>
      </c>
      <c r="J98" s="17" t="s">
        <v>2507</v>
      </c>
      <c r="K98" s="17" t="s">
        <v>2508</v>
      </c>
      <c r="L98" s="17"/>
      <c r="M98" s="17"/>
      <c r="N98" s="17" t="s">
        <v>2264</v>
      </c>
      <c r="O98" s="17"/>
      <c r="P98" s="17" t="s">
        <v>2509</v>
      </c>
      <c r="Q98" s="17" t="s">
        <v>2510</v>
      </c>
      <c r="R98" s="17" t="s">
        <v>2988</v>
      </c>
      <c r="S98" s="17" t="s">
        <v>2994</v>
      </c>
      <c r="T98" s="17"/>
      <c r="U98" s="17" t="s">
        <v>2990</v>
      </c>
      <c r="V98" s="16" t="s">
        <v>2569</v>
      </c>
      <c r="W98" s="16" t="s">
        <v>2244</v>
      </c>
      <c r="X98" s="16"/>
      <c r="Y98" s="16"/>
      <c r="Z98" s="16"/>
      <c r="AA98" s="16"/>
      <c r="AB98" s="16"/>
      <c r="AC98" s="16"/>
      <c r="AD98" s="16"/>
      <c r="AE98" s="16"/>
      <c r="AF98" s="16" t="s">
        <v>2515</v>
      </c>
      <c r="AG98" s="16"/>
      <c r="AH98" s="16"/>
      <c r="AI98" s="16" t="s">
        <v>2516</v>
      </c>
      <c r="AJ98" s="16" t="s">
        <v>2526</v>
      </c>
      <c r="AK98" s="16"/>
      <c r="AL98" s="16"/>
      <c r="AM98" s="16"/>
      <c r="AN98" s="16"/>
      <c r="AO98" s="16"/>
      <c r="AP98" s="16"/>
      <c r="AQ98" s="16"/>
      <c r="AR98" s="16"/>
      <c r="AS98" s="16" t="s">
        <v>2246</v>
      </c>
      <c r="AT98" s="16" t="s">
        <v>2527</v>
      </c>
    </row>
    <row r="99" spans="1:46" ht="37.049999999999997" customHeight="1" x14ac:dyDescent="0.3">
      <c r="A99" s="16" t="s">
        <v>2247</v>
      </c>
      <c r="B99" s="16" t="s">
        <v>2985</v>
      </c>
      <c r="C99" s="16" t="s">
        <v>2237</v>
      </c>
      <c r="D99" s="17" t="s">
        <v>2986</v>
      </c>
      <c r="E99" s="17"/>
      <c r="F99" s="17" t="s">
        <v>2987</v>
      </c>
      <c r="G99" s="17"/>
      <c r="H99" s="17" t="s">
        <v>2238</v>
      </c>
      <c r="I99" s="17" t="s">
        <v>2239</v>
      </c>
      <c r="J99" s="17" t="s">
        <v>2507</v>
      </c>
      <c r="K99" s="17" t="s">
        <v>2508</v>
      </c>
      <c r="L99" s="17"/>
      <c r="M99" s="17"/>
      <c r="N99" s="17" t="s">
        <v>2264</v>
      </c>
      <c r="O99" s="17"/>
      <c r="P99" s="17" t="s">
        <v>2509</v>
      </c>
      <c r="Q99" s="17" t="s">
        <v>2510</v>
      </c>
      <c r="R99" s="17" t="s">
        <v>2988</v>
      </c>
      <c r="S99" s="17" t="s">
        <v>2989</v>
      </c>
      <c r="T99" s="17"/>
      <c r="U99" s="17" t="s">
        <v>2990</v>
      </c>
      <c r="V99" s="16" t="s">
        <v>2569</v>
      </c>
      <c r="W99" s="16" t="s">
        <v>2244</v>
      </c>
      <c r="X99" s="16"/>
      <c r="Y99" s="16"/>
      <c r="Z99" s="16"/>
      <c r="AA99" s="16"/>
      <c r="AB99" s="16"/>
      <c r="AC99" s="16"/>
      <c r="AD99" s="16"/>
      <c r="AE99" s="16"/>
      <c r="AF99" s="16" t="s">
        <v>2515</v>
      </c>
      <c r="AG99" s="16"/>
      <c r="AH99" s="16"/>
      <c r="AI99" s="16" t="s">
        <v>2516</v>
      </c>
      <c r="AJ99" s="16" t="s">
        <v>2526</v>
      </c>
      <c r="AK99" s="16"/>
      <c r="AL99" s="16"/>
      <c r="AM99" s="16"/>
      <c r="AN99" s="16"/>
      <c r="AO99" s="16"/>
      <c r="AP99" s="16"/>
      <c r="AQ99" s="16"/>
      <c r="AR99" s="16"/>
      <c r="AS99" s="16" t="s">
        <v>2246</v>
      </c>
      <c r="AT99" s="16" t="s">
        <v>2527</v>
      </c>
    </row>
    <row r="100" spans="1:46" ht="37.049999999999997" customHeight="1" x14ac:dyDescent="0.3">
      <c r="A100" s="16" t="s">
        <v>2788</v>
      </c>
      <c r="B100" s="16" t="s">
        <v>2789</v>
      </c>
      <c r="C100" s="16" t="s">
        <v>2237</v>
      </c>
      <c r="D100" s="17" t="s">
        <v>2790</v>
      </c>
      <c r="E100" s="17"/>
      <c r="F100" s="17" t="s">
        <v>2791</v>
      </c>
      <c r="G100" s="17"/>
      <c r="H100" s="17" t="s">
        <v>2238</v>
      </c>
      <c r="I100" s="17" t="s">
        <v>2239</v>
      </c>
      <c r="J100" s="17" t="s">
        <v>2508</v>
      </c>
      <c r="K100" s="17"/>
      <c r="L100" s="17"/>
      <c r="M100" s="17"/>
      <c r="N100" s="17" t="s">
        <v>2609</v>
      </c>
      <c r="O100" s="17"/>
      <c r="P100" s="17" t="s">
        <v>2610</v>
      </c>
      <c r="Q100" s="17" t="s">
        <v>2510</v>
      </c>
      <c r="R100" s="17" t="s">
        <v>2792</v>
      </c>
      <c r="S100" s="17" t="s">
        <v>2793</v>
      </c>
      <c r="T100" s="17"/>
      <c r="U100" s="17" t="s">
        <v>2794</v>
      </c>
      <c r="V100" s="16" t="s">
        <v>2795</v>
      </c>
      <c r="W100" s="16" t="s">
        <v>2244</v>
      </c>
      <c r="X100" s="16" t="s">
        <v>2614</v>
      </c>
      <c r="Y100" s="16"/>
      <c r="Z100" s="16"/>
      <c r="AA100" s="16"/>
      <c r="AB100" s="16"/>
      <c r="AC100" s="16"/>
      <c r="AD100" s="16"/>
      <c r="AE100" s="16"/>
      <c r="AF100" s="16" t="s">
        <v>2615</v>
      </c>
      <c r="AG100" s="16"/>
      <c r="AH100" s="16"/>
      <c r="AI100" s="16" t="s">
        <v>2616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 t="s">
        <v>2246</v>
      </c>
      <c r="AT100" s="16" t="s">
        <v>2617</v>
      </c>
    </row>
    <row r="101" spans="1:46" ht="37.049999999999997" customHeight="1" x14ac:dyDescent="0.3">
      <c r="A101" s="16" t="s">
        <v>2385</v>
      </c>
      <c r="B101" s="16" t="s">
        <v>2978</v>
      </c>
      <c r="C101" s="16" t="s">
        <v>2237</v>
      </c>
      <c r="D101" s="17" t="s">
        <v>2979</v>
      </c>
      <c r="E101" s="17"/>
      <c r="F101" s="17" t="s">
        <v>2980</v>
      </c>
      <c r="G101" s="17"/>
      <c r="H101" s="17" t="s">
        <v>2238</v>
      </c>
      <c r="I101" s="17" t="s">
        <v>2239</v>
      </c>
      <c r="J101" s="17" t="s">
        <v>2508</v>
      </c>
      <c r="K101" s="17"/>
      <c r="L101" s="17"/>
      <c r="M101" s="17"/>
      <c r="N101" s="17" t="s">
        <v>2981</v>
      </c>
      <c r="O101" s="17"/>
      <c r="P101" s="17" t="s">
        <v>2610</v>
      </c>
      <c r="Q101" s="17" t="s">
        <v>2510</v>
      </c>
      <c r="R101" s="17" t="s">
        <v>2982</v>
      </c>
      <c r="S101" s="17" t="s">
        <v>2983</v>
      </c>
      <c r="T101" s="17"/>
      <c r="U101" s="17" t="s">
        <v>2984</v>
      </c>
      <c r="V101" s="16" t="s">
        <v>2569</v>
      </c>
      <c r="W101" s="16" t="s">
        <v>2244</v>
      </c>
      <c r="X101" s="16" t="s">
        <v>2614</v>
      </c>
      <c r="Y101" s="16"/>
      <c r="Z101" s="16"/>
      <c r="AA101" s="16"/>
      <c r="AB101" s="16"/>
      <c r="AC101" s="16"/>
      <c r="AD101" s="16"/>
      <c r="AE101" s="16"/>
      <c r="AF101" s="16" t="s">
        <v>2615</v>
      </c>
      <c r="AG101" s="16"/>
      <c r="AH101" s="16"/>
      <c r="AI101" s="16" t="s">
        <v>2616</v>
      </c>
      <c r="AJ101" s="16"/>
      <c r="AK101" s="16"/>
      <c r="AL101" s="16"/>
      <c r="AM101" s="16"/>
      <c r="AN101" s="16"/>
      <c r="AO101" s="16"/>
      <c r="AP101" s="16"/>
      <c r="AQ101" s="16"/>
      <c r="AR101" s="16"/>
      <c r="AS101" s="16" t="s">
        <v>2246</v>
      </c>
      <c r="AT101" s="16" t="s">
        <v>2617</v>
      </c>
    </row>
    <row r="102" spans="1:46" ht="37.049999999999997" customHeight="1" x14ac:dyDescent="0.3">
      <c r="A102" s="16" t="s">
        <v>2399</v>
      </c>
      <c r="B102" s="16" t="s">
        <v>2400</v>
      </c>
      <c r="C102" s="16" t="s">
        <v>2237</v>
      </c>
      <c r="D102" s="17" t="s">
        <v>2401</v>
      </c>
      <c r="E102" s="17"/>
      <c r="F102" s="17" t="s">
        <v>2402</v>
      </c>
      <c r="G102" s="17"/>
      <c r="H102" s="17" t="s">
        <v>2238</v>
      </c>
      <c r="I102" s="17" t="s">
        <v>2239</v>
      </c>
      <c r="J102" s="17" t="s">
        <v>2365</v>
      </c>
      <c r="K102" s="17" t="s">
        <v>2241</v>
      </c>
      <c r="L102" s="17"/>
      <c r="M102" s="17"/>
      <c r="N102" s="17" t="s">
        <v>2264</v>
      </c>
      <c r="O102" s="17"/>
      <c r="P102" s="17" t="s">
        <v>2253</v>
      </c>
      <c r="Q102" s="17" t="s">
        <v>2254</v>
      </c>
      <c r="R102" s="17"/>
      <c r="S102" s="17" t="s">
        <v>2403</v>
      </c>
      <c r="T102" s="17"/>
      <c r="U102" s="17" t="s">
        <v>219</v>
      </c>
      <c r="V102" s="16"/>
      <c r="W102" s="16" t="s">
        <v>2244</v>
      </c>
      <c r="X102" s="16"/>
      <c r="Y102" s="16"/>
      <c r="Z102" s="16"/>
      <c r="AA102" s="16"/>
      <c r="AB102" s="16"/>
      <c r="AC102" s="16"/>
      <c r="AD102" s="16"/>
      <c r="AE102" s="16"/>
      <c r="AF102" s="16" t="s">
        <v>2370</v>
      </c>
      <c r="AG102" s="16"/>
      <c r="AH102" s="16"/>
      <c r="AI102" s="16" t="s">
        <v>2371</v>
      </c>
      <c r="AJ102" s="16"/>
      <c r="AK102" s="16"/>
      <c r="AL102" s="16"/>
      <c r="AM102" s="16"/>
      <c r="AN102" s="16"/>
      <c r="AO102" s="16"/>
      <c r="AP102" s="16"/>
      <c r="AQ102" s="16"/>
      <c r="AR102" s="16"/>
      <c r="AS102" s="16" t="s">
        <v>2246</v>
      </c>
      <c r="AT102" s="16" t="s">
        <v>2355</v>
      </c>
    </row>
    <row r="103" spans="1:46" ht="37.049999999999997" customHeight="1" x14ac:dyDescent="0.3">
      <c r="A103" s="16" t="s">
        <v>2329</v>
      </c>
      <c r="B103" s="16" t="s">
        <v>2866</v>
      </c>
      <c r="C103" s="16" t="s">
        <v>2237</v>
      </c>
      <c r="D103" s="17" t="s">
        <v>2867</v>
      </c>
      <c r="E103" s="17"/>
      <c r="F103" s="17" t="s">
        <v>2868</v>
      </c>
      <c r="G103" s="17"/>
      <c r="H103" s="17" t="s">
        <v>2238</v>
      </c>
      <c r="I103" s="17" t="s">
        <v>2239</v>
      </c>
      <c r="J103" s="17" t="s">
        <v>2271</v>
      </c>
      <c r="K103" s="17" t="s">
        <v>2241</v>
      </c>
      <c r="L103" s="17"/>
      <c r="M103" s="17"/>
      <c r="N103" s="17" t="s">
        <v>2272</v>
      </c>
      <c r="O103" s="17"/>
      <c r="P103" s="17" t="s">
        <v>2273</v>
      </c>
      <c r="Q103" s="17" t="s">
        <v>2274</v>
      </c>
      <c r="R103" s="17"/>
      <c r="S103" s="17"/>
      <c r="T103" s="17" t="s">
        <v>2869</v>
      </c>
      <c r="U103" s="17" t="s">
        <v>2870</v>
      </c>
      <c r="V103" s="16"/>
      <c r="W103" s="16" t="s">
        <v>2244</v>
      </c>
      <c r="X103" s="16"/>
      <c r="Y103" s="16"/>
      <c r="Z103" s="16"/>
      <c r="AA103" s="16"/>
      <c r="AB103" s="16"/>
      <c r="AC103" s="16"/>
      <c r="AD103" s="16"/>
      <c r="AE103" s="16"/>
      <c r="AF103" s="16" t="s">
        <v>2277</v>
      </c>
      <c r="AG103" s="16"/>
      <c r="AH103" s="16"/>
      <c r="AI103" s="16" t="s">
        <v>2278</v>
      </c>
      <c r="AJ103" s="16"/>
      <c r="AK103" s="16"/>
      <c r="AL103" s="16"/>
      <c r="AM103" s="16"/>
      <c r="AN103" s="16"/>
      <c r="AO103" s="16"/>
      <c r="AP103" s="16"/>
      <c r="AQ103" s="16"/>
      <c r="AR103" s="16"/>
      <c r="AS103" s="16" t="s">
        <v>2246</v>
      </c>
      <c r="AT103" s="16" t="s">
        <v>2279</v>
      </c>
    </row>
    <row r="104" spans="1:46" ht="37.049999999999997" customHeight="1" x14ac:dyDescent="0.3">
      <c r="A104" s="16" t="s">
        <v>2280</v>
      </c>
      <c r="B104" s="16" t="s">
        <v>2854</v>
      </c>
      <c r="C104" s="16" t="s">
        <v>2237</v>
      </c>
      <c r="D104" s="17" t="s">
        <v>2855</v>
      </c>
      <c r="E104" s="17"/>
      <c r="F104" s="17" t="s">
        <v>2856</v>
      </c>
      <c r="G104" s="17"/>
      <c r="H104" s="17"/>
      <c r="I104" s="17" t="s">
        <v>2239</v>
      </c>
      <c r="J104" s="17" t="s">
        <v>2466</v>
      </c>
      <c r="K104" s="17"/>
      <c r="L104" s="17"/>
      <c r="M104" s="17"/>
      <c r="N104" s="17" t="s">
        <v>2389</v>
      </c>
      <c r="O104" s="17"/>
      <c r="P104" s="17" t="s">
        <v>2467</v>
      </c>
      <c r="Q104" s="17"/>
      <c r="R104" s="17" t="s">
        <v>2857</v>
      </c>
      <c r="S104" s="17" t="s">
        <v>2858</v>
      </c>
      <c r="T104" s="17"/>
      <c r="U104" s="17" t="s">
        <v>2859</v>
      </c>
      <c r="V104" s="16" t="s">
        <v>2478</v>
      </c>
      <c r="W104" s="16" t="s">
        <v>2244</v>
      </c>
      <c r="X104" s="16" t="s">
        <v>2236</v>
      </c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 t="s">
        <v>2470</v>
      </c>
    </row>
    <row r="105" spans="1:46" ht="37.049999999999997" customHeight="1" x14ac:dyDescent="0.3">
      <c r="A105" s="16" t="s">
        <v>2796</v>
      </c>
      <c r="B105" s="16" t="s">
        <v>2797</v>
      </c>
      <c r="C105" s="16" t="s">
        <v>2237</v>
      </c>
      <c r="D105" s="17" t="s">
        <v>2798</v>
      </c>
      <c r="E105" s="17"/>
      <c r="F105" s="17" t="s">
        <v>2799</v>
      </c>
      <c r="G105" s="17"/>
      <c r="H105" s="17" t="s">
        <v>2238</v>
      </c>
      <c r="I105" s="17" t="s">
        <v>2239</v>
      </c>
      <c r="J105" s="17" t="s">
        <v>2508</v>
      </c>
      <c r="K105" s="17"/>
      <c r="L105" s="17"/>
      <c r="M105" s="17"/>
      <c r="N105" s="17" t="s">
        <v>2609</v>
      </c>
      <c r="O105" s="17"/>
      <c r="P105" s="17" t="s">
        <v>2610</v>
      </c>
      <c r="Q105" s="17" t="s">
        <v>2510</v>
      </c>
      <c r="R105" s="17" t="s">
        <v>2622</v>
      </c>
      <c r="S105" s="17"/>
      <c r="T105" s="17"/>
      <c r="U105" s="17" t="s">
        <v>2800</v>
      </c>
      <c r="V105" s="16" t="s">
        <v>2569</v>
      </c>
      <c r="W105" s="16" t="s">
        <v>2244</v>
      </c>
      <c r="X105" s="16"/>
      <c r="Y105" s="16"/>
      <c r="Z105" s="16"/>
      <c r="AA105" s="16"/>
      <c r="AB105" s="16"/>
      <c r="AC105" s="16"/>
      <c r="AD105" s="16"/>
      <c r="AE105" s="16"/>
      <c r="AF105" s="16" t="s">
        <v>2615</v>
      </c>
      <c r="AG105" s="16"/>
      <c r="AH105" s="16"/>
      <c r="AI105" s="16" t="s">
        <v>2616</v>
      </c>
      <c r="AJ105" s="16"/>
      <c r="AK105" s="16"/>
      <c r="AL105" s="16"/>
      <c r="AM105" s="16"/>
      <c r="AN105" s="16"/>
      <c r="AO105" s="16"/>
      <c r="AP105" s="16"/>
      <c r="AQ105" s="16"/>
      <c r="AR105" s="16"/>
      <c r="AS105" s="16" t="s">
        <v>2246</v>
      </c>
      <c r="AT105" s="16" t="s">
        <v>2617</v>
      </c>
    </row>
    <row r="106" spans="1:46" ht="37.049999999999997" customHeight="1" x14ac:dyDescent="0.3">
      <c r="A106" s="16" t="s">
        <v>2247</v>
      </c>
      <c r="B106" s="16" t="s">
        <v>2841</v>
      </c>
      <c r="C106" s="16" t="s">
        <v>2237</v>
      </c>
      <c r="D106" s="17" t="s">
        <v>2842</v>
      </c>
      <c r="E106" s="17"/>
      <c r="F106" s="17" t="s">
        <v>2843</v>
      </c>
      <c r="G106" s="17"/>
      <c r="H106" s="17" t="s">
        <v>2238</v>
      </c>
      <c r="I106" s="17" t="s">
        <v>2239</v>
      </c>
      <c r="J106" s="17" t="s">
        <v>2271</v>
      </c>
      <c r="K106" s="17" t="s">
        <v>2241</v>
      </c>
      <c r="L106" s="17"/>
      <c r="M106" s="17"/>
      <c r="N106" s="17" t="s">
        <v>2272</v>
      </c>
      <c r="O106" s="17"/>
      <c r="P106" s="17" t="s">
        <v>2273</v>
      </c>
      <c r="Q106" s="17" t="s">
        <v>2274</v>
      </c>
      <c r="R106" s="17"/>
      <c r="S106" s="17"/>
      <c r="T106" s="17" t="s">
        <v>2844</v>
      </c>
      <c r="U106" s="17" t="s">
        <v>2171</v>
      </c>
      <c r="V106" s="16"/>
      <c r="W106" s="16" t="s">
        <v>2244</v>
      </c>
      <c r="X106" s="16"/>
      <c r="Y106" s="16"/>
      <c r="Z106" s="16"/>
      <c r="AA106" s="16"/>
      <c r="AB106" s="16"/>
      <c r="AC106" s="16"/>
      <c r="AD106" s="16"/>
      <c r="AE106" s="16"/>
      <c r="AF106" s="16" t="s">
        <v>2277</v>
      </c>
      <c r="AG106" s="16"/>
      <c r="AH106" s="16"/>
      <c r="AI106" s="16" t="s">
        <v>2278</v>
      </c>
      <c r="AJ106" s="16"/>
      <c r="AK106" s="16"/>
      <c r="AL106" s="16"/>
      <c r="AM106" s="16"/>
      <c r="AN106" s="16"/>
      <c r="AO106" s="16"/>
      <c r="AP106" s="16"/>
      <c r="AQ106" s="16"/>
      <c r="AR106" s="16"/>
      <c r="AS106" s="16" t="s">
        <v>2246</v>
      </c>
      <c r="AT106" s="16" t="s">
        <v>2279</v>
      </c>
    </row>
    <row r="107" spans="1:46" ht="37.049999999999997" customHeight="1" x14ac:dyDescent="0.3">
      <c r="A107" s="16" t="s">
        <v>2259</v>
      </c>
      <c r="B107" s="16" t="s">
        <v>2845</v>
      </c>
      <c r="C107" s="16" t="s">
        <v>2237</v>
      </c>
      <c r="D107" s="17" t="s">
        <v>2846</v>
      </c>
      <c r="E107" s="17"/>
      <c r="F107" s="17" t="s">
        <v>2847</v>
      </c>
      <c r="G107" s="17"/>
      <c r="H107" s="17" t="s">
        <v>2238</v>
      </c>
      <c r="I107" s="17" t="s">
        <v>2239</v>
      </c>
      <c r="J107" s="17" t="s">
        <v>2271</v>
      </c>
      <c r="K107" s="17" t="s">
        <v>2241</v>
      </c>
      <c r="L107" s="17"/>
      <c r="M107" s="17"/>
      <c r="N107" s="17" t="s">
        <v>2848</v>
      </c>
      <c r="O107" s="17"/>
      <c r="P107" s="17" t="s">
        <v>2273</v>
      </c>
      <c r="Q107" s="17" t="s">
        <v>2274</v>
      </c>
      <c r="R107" s="17"/>
      <c r="S107" s="17"/>
      <c r="T107" s="17" t="s">
        <v>2849</v>
      </c>
      <c r="U107" s="17" t="s">
        <v>2112</v>
      </c>
      <c r="V107" s="16"/>
      <c r="W107" s="16" t="s">
        <v>2244</v>
      </c>
      <c r="X107" s="16"/>
      <c r="Y107" s="16"/>
      <c r="Z107" s="16"/>
      <c r="AA107" s="16"/>
      <c r="AB107" s="16"/>
      <c r="AC107" s="16"/>
      <c r="AD107" s="16"/>
      <c r="AE107" s="16"/>
      <c r="AF107" s="16" t="s">
        <v>2277</v>
      </c>
      <c r="AG107" s="16"/>
      <c r="AH107" s="16"/>
      <c r="AI107" s="16" t="s">
        <v>2278</v>
      </c>
      <c r="AJ107" s="16"/>
      <c r="AK107" s="16"/>
      <c r="AL107" s="16"/>
      <c r="AM107" s="16"/>
      <c r="AN107" s="16"/>
      <c r="AO107" s="16"/>
      <c r="AP107" s="16"/>
      <c r="AQ107" s="16"/>
      <c r="AR107" s="16"/>
      <c r="AS107" s="16" t="s">
        <v>2246</v>
      </c>
      <c r="AT107" s="16" t="s">
        <v>2279</v>
      </c>
    </row>
    <row r="108" spans="1:46" ht="37.049999999999997" customHeight="1" x14ac:dyDescent="0.3">
      <c r="A108" s="16" t="s">
        <v>2801</v>
      </c>
      <c r="B108" s="16" t="s">
        <v>2802</v>
      </c>
      <c r="C108" s="16" t="s">
        <v>2237</v>
      </c>
      <c r="D108" s="17" t="s">
        <v>2803</v>
      </c>
      <c r="E108" s="17"/>
      <c r="F108" s="17" t="s">
        <v>2804</v>
      </c>
      <c r="G108" s="17"/>
      <c r="H108" s="17" t="s">
        <v>2238</v>
      </c>
      <c r="I108" s="17" t="s">
        <v>2239</v>
      </c>
      <c r="J108" s="17" t="s">
        <v>2508</v>
      </c>
      <c r="K108" s="17"/>
      <c r="L108" s="17"/>
      <c r="M108" s="17"/>
      <c r="N108" s="17" t="s">
        <v>2609</v>
      </c>
      <c r="O108" s="17"/>
      <c r="P108" s="17" t="s">
        <v>2610</v>
      </c>
      <c r="Q108" s="17" t="s">
        <v>2510</v>
      </c>
      <c r="R108" s="17" t="s">
        <v>2622</v>
      </c>
      <c r="S108" s="17"/>
      <c r="T108" s="17"/>
      <c r="U108" s="17" t="s">
        <v>2805</v>
      </c>
      <c r="V108" s="16" t="s">
        <v>2569</v>
      </c>
      <c r="W108" s="16" t="s">
        <v>2244</v>
      </c>
      <c r="X108" s="16" t="s">
        <v>2614</v>
      </c>
      <c r="Y108" s="16"/>
      <c r="Z108" s="16"/>
      <c r="AA108" s="16"/>
      <c r="AB108" s="16"/>
      <c r="AC108" s="16"/>
      <c r="AD108" s="16"/>
      <c r="AE108" s="16"/>
      <c r="AF108" s="16" t="s">
        <v>2615</v>
      </c>
      <c r="AG108" s="16"/>
      <c r="AH108" s="16"/>
      <c r="AI108" s="16" t="s">
        <v>2616</v>
      </c>
      <c r="AJ108" s="16"/>
      <c r="AK108" s="16"/>
      <c r="AL108" s="16"/>
      <c r="AM108" s="16"/>
      <c r="AN108" s="16"/>
      <c r="AO108" s="16"/>
      <c r="AP108" s="16"/>
      <c r="AQ108" s="16"/>
      <c r="AR108" s="16"/>
      <c r="AS108" s="16" t="s">
        <v>2246</v>
      </c>
      <c r="AT108" s="16" t="s">
        <v>2617</v>
      </c>
    </row>
    <row r="109" spans="1:46" ht="37.049999999999997" customHeight="1" x14ac:dyDescent="0.3">
      <c r="A109" s="16" t="s">
        <v>2806</v>
      </c>
      <c r="B109" s="16" t="s">
        <v>2807</v>
      </c>
      <c r="C109" s="16" t="s">
        <v>2237</v>
      </c>
      <c r="D109" s="17" t="s">
        <v>2808</v>
      </c>
      <c r="E109" s="17"/>
      <c r="F109" s="17" t="s">
        <v>2809</v>
      </c>
      <c r="G109" s="17"/>
      <c r="H109" s="17" t="s">
        <v>2238</v>
      </c>
      <c r="I109" s="17" t="s">
        <v>2239</v>
      </c>
      <c r="J109" s="17" t="s">
        <v>2508</v>
      </c>
      <c r="K109" s="17"/>
      <c r="L109" s="17"/>
      <c r="M109" s="17"/>
      <c r="N109" s="17" t="s">
        <v>2609</v>
      </c>
      <c r="O109" s="17"/>
      <c r="P109" s="17" t="s">
        <v>2610</v>
      </c>
      <c r="Q109" s="17" t="s">
        <v>2510</v>
      </c>
      <c r="R109" s="17" t="s">
        <v>2810</v>
      </c>
      <c r="S109" s="17" t="s">
        <v>2811</v>
      </c>
      <c r="T109" s="17"/>
      <c r="U109" s="17" t="s">
        <v>2812</v>
      </c>
      <c r="V109" s="16" t="s">
        <v>2569</v>
      </c>
      <c r="W109" s="16" t="s">
        <v>2244</v>
      </c>
      <c r="X109" s="16" t="s">
        <v>2614</v>
      </c>
      <c r="Y109" s="16"/>
      <c r="Z109" s="16"/>
      <c r="AA109" s="16"/>
      <c r="AB109" s="16"/>
      <c r="AC109" s="16"/>
      <c r="AD109" s="16"/>
      <c r="AE109" s="16"/>
      <c r="AF109" s="16" t="s">
        <v>2615</v>
      </c>
      <c r="AG109" s="16"/>
      <c r="AH109" s="16"/>
      <c r="AI109" s="16" t="s">
        <v>2616</v>
      </c>
      <c r="AJ109" s="16"/>
      <c r="AK109" s="16"/>
      <c r="AL109" s="16"/>
      <c r="AM109" s="16"/>
      <c r="AN109" s="16"/>
      <c r="AO109" s="16"/>
      <c r="AP109" s="16"/>
      <c r="AQ109" s="16"/>
      <c r="AR109" s="16"/>
      <c r="AS109" s="16" t="s">
        <v>2246</v>
      </c>
      <c r="AT109" s="16" t="s">
        <v>2617</v>
      </c>
    </row>
    <row r="110" spans="1:46" ht="37.049999999999997" customHeight="1" x14ac:dyDescent="0.3">
      <c r="A110" s="16" t="s">
        <v>2496</v>
      </c>
      <c r="B110" s="16" t="s">
        <v>2497</v>
      </c>
      <c r="C110" s="16" t="s">
        <v>2237</v>
      </c>
      <c r="D110" s="17" t="s">
        <v>2498</v>
      </c>
      <c r="E110" s="17"/>
      <c r="F110" s="17" t="s">
        <v>2499</v>
      </c>
      <c r="G110" s="17"/>
      <c r="H110" s="17"/>
      <c r="I110" s="17" t="s">
        <v>2239</v>
      </c>
      <c r="J110" s="17" t="s">
        <v>2489</v>
      </c>
      <c r="K110" s="17"/>
      <c r="L110" s="17"/>
      <c r="M110" s="17"/>
      <c r="N110" s="17" t="s">
        <v>2500</v>
      </c>
      <c r="O110" s="17"/>
      <c r="P110" s="17" t="s">
        <v>2449</v>
      </c>
      <c r="Q110" s="17"/>
      <c r="R110" s="17" t="s">
        <v>2491</v>
      </c>
      <c r="S110" s="17" t="s">
        <v>2501</v>
      </c>
      <c r="T110" s="17"/>
      <c r="U110" s="17" t="s">
        <v>2502</v>
      </c>
      <c r="V110" s="16" t="s">
        <v>2494</v>
      </c>
      <c r="W110" s="16" t="s">
        <v>2244</v>
      </c>
      <c r="X110" s="16" t="s">
        <v>2236</v>
      </c>
      <c r="Y110" s="16"/>
      <c r="Z110" s="16"/>
      <c r="AA110" s="16"/>
      <c r="AB110" s="16"/>
      <c r="AC110" s="16"/>
      <c r="AD110" s="16"/>
      <c r="AE110" s="16"/>
      <c r="AF110" s="16" t="s">
        <v>2452</v>
      </c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 t="s">
        <v>2246</v>
      </c>
      <c r="AT110" s="16" t="s">
        <v>2495</v>
      </c>
    </row>
    <row r="111" spans="1:46" ht="37.049999999999997" customHeight="1" x14ac:dyDescent="0.3">
      <c r="A111" s="16" t="s">
        <v>2267</v>
      </c>
      <c r="B111" s="16" t="s">
        <v>3016</v>
      </c>
      <c r="C111" s="16" t="s">
        <v>2237</v>
      </c>
      <c r="D111" s="17" t="s">
        <v>3017</v>
      </c>
      <c r="E111" s="17"/>
      <c r="F111" s="17" t="s">
        <v>3018</v>
      </c>
      <c r="G111" s="17"/>
      <c r="H111" s="17" t="s">
        <v>2238</v>
      </c>
      <c r="I111" s="17" t="s">
        <v>2239</v>
      </c>
      <c r="J111" s="17" t="s">
        <v>2365</v>
      </c>
      <c r="K111" s="17" t="s">
        <v>2241</v>
      </c>
      <c r="L111" s="17"/>
      <c r="M111" s="17"/>
      <c r="N111" s="17" t="s">
        <v>2264</v>
      </c>
      <c r="O111" s="17"/>
      <c r="P111" s="17" t="s">
        <v>2253</v>
      </c>
      <c r="Q111" s="17" t="s">
        <v>2254</v>
      </c>
      <c r="R111" s="17"/>
      <c r="S111" s="17" t="s">
        <v>3019</v>
      </c>
      <c r="T111" s="17"/>
      <c r="U111" s="17" t="s">
        <v>3020</v>
      </c>
      <c r="V111" s="16"/>
      <c r="W111" s="16" t="s">
        <v>2244</v>
      </c>
      <c r="X111" s="16"/>
      <c r="Y111" s="16"/>
      <c r="Z111" s="16"/>
      <c r="AA111" s="16"/>
      <c r="AB111" s="16"/>
      <c r="AC111" s="16"/>
      <c r="AD111" s="16"/>
      <c r="AE111" s="16"/>
      <c r="AF111" s="16" t="s">
        <v>2370</v>
      </c>
      <c r="AG111" s="16"/>
      <c r="AH111" s="16"/>
      <c r="AI111" s="16" t="s">
        <v>2371</v>
      </c>
      <c r="AJ111" s="16"/>
      <c r="AK111" s="16"/>
      <c r="AL111" s="16"/>
      <c r="AM111" s="16"/>
      <c r="AN111" s="16"/>
      <c r="AO111" s="16"/>
      <c r="AP111" s="16"/>
      <c r="AQ111" s="16"/>
      <c r="AR111" s="16"/>
      <c r="AS111" s="16" t="s">
        <v>2246</v>
      </c>
      <c r="AT111" s="16" t="s">
        <v>2355</v>
      </c>
    </row>
    <row r="112" spans="1:46" ht="37.049999999999997" customHeight="1" x14ac:dyDescent="0.3">
      <c r="A112" s="16" t="s">
        <v>2813</v>
      </c>
      <c r="B112" s="16" t="s">
        <v>2814</v>
      </c>
      <c r="C112" s="16" t="s">
        <v>2237</v>
      </c>
      <c r="D112" s="17" t="s">
        <v>2815</v>
      </c>
      <c r="E112" s="17"/>
      <c r="F112" s="17" t="s">
        <v>2816</v>
      </c>
      <c r="G112" s="17"/>
      <c r="H112" s="17" t="s">
        <v>2238</v>
      </c>
      <c r="I112" s="17" t="s">
        <v>2239</v>
      </c>
      <c r="J112" s="17" t="s">
        <v>2508</v>
      </c>
      <c r="K112" s="17"/>
      <c r="L112" s="17"/>
      <c r="M112" s="17"/>
      <c r="N112" s="17" t="s">
        <v>2609</v>
      </c>
      <c r="O112" s="17"/>
      <c r="P112" s="17" t="s">
        <v>2610</v>
      </c>
      <c r="Q112" s="17" t="s">
        <v>2510</v>
      </c>
      <c r="R112" s="17" t="s">
        <v>2713</v>
      </c>
      <c r="S112" s="17"/>
      <c r="T112" s="17"/>
      <c r="U112" s="17" t="s">
        <v>2817</v>
      </c>
      <c r="V112" s="16" t="s">
        <v>2569</v>
      </c>
      <c r="W112" s="16" t="s">
        <v>2244</v>
      </c>
      <c r="X112" s="16"/>
      <c r="Y112" s="16"/>
      <c r="Z112" s="16"/>
      <c r="AA112" s="16"/>
      <c r="AB112" s="16"/>
      <c r="AC112" s="16"/>
      <c r="AD112" s="16"/>
      <c r="AE112" s="16"/>
      <c r="AF112" s="16" t="s">
        <v>2615</v>
      </c>
      <c r="AG112" s="16"/>
      <c r="AH112" s="16"/>
      <c r="AI112" s="16" t="s">
        <v>2616</v>
      </c>
      <c r="AJ112" s="16"/>
      <c r="AK112" s="16"/>
      <c r="AL112" s="16"/>
      <c r="AM112" s="16"/>
      <c r="AN112" s="16"/>
      <c r="AO112" s="16"/>
      <c r="AP112" s="16"/>
      <c r="AQ112" s="16"/>
      <c r="AR112" s="16"/>
      <c r="AS112" s="16" t="s">
        <v>2246</v>
      </c>
      <c r="AT112" s="16" t="s">
        <v>2617</v>
      </c>
    </row>
    <row r="113" spans="1:46" ht="37.049999999999997" customHeight="1" x14ac:dyDescent="0.3">
      <c r="A113" s="16" t="s">
        <v>2247</v>
      </c>
      <c r="B113" s="16" t="s">
        <v>3005</v>
      </c>
      <c r="C113" s="16" t="s">
        <v>2237</v>
      </c>
      <c r="D113" s="17" t="s">
        <v>3006</v>
      </c>
      <c r="E113" s="17"/>
      <c r="F113" s="17" t="s">
        <v>3007</v>
      </c>
      <c r="G113" s="17"/>
      <c r="H113" s="17" t="s">
        <v>2238</v>
      </c>
      <c r="I113" s="17" t="s">
        <v>2239</v>
      </c>
      <c r="J113" s="17" t="s">
        <v>2837</v>
      </c>
      <c r="K113" s="17" t="s">
        <v>2241</v>
      </c>
      <c r="L113" s="17"/>
      <c r="M113" s="17"/>
      <c r="N113" s="17" t="s">
        <v>2272</v>
      </c>
      <c r="O113" s="17"/>
      <c r="P113" s="17" t="s">
        <v>2273</v>
      </c>
      <c r="Q113" s="17" t="s">
        <v>2254</v>
      </c>
      <c r="R113" s="17"/>
      <c r="S113" s="17"/>
      <c r="T113" s="17" t="s">
        <v>3008</v>
      </c>
      <c r="U113" s="17" t="s">
        <v>3009</v>
      </c>
      <c r="V113" s="16"/>
      <c r="W113" s="16" t="s">
        <v>2244</v>
      </c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 t="s">
        <v>2839</v>
      </c>
      <c r="AJ113" s="16"/>
      <c r="AK113" s="16"/>
      <c r="AL113" s="16"/>
      <c r="AM113" s="16"/>
      <c r="AN113" s="16"/>
      <c r="AO113" s="16"/>
      <c r="AP113" s="16"/>
      <c r="AQ113" s="16"/>
      <c r="AR113" s="16"/>
      <c r="AS113" s="16" t="s">
        <v>2246</v>
      </c>
      <c r="AT113" s="16" t="s">
        <v>2840</v>
      </c>
    </row>
    <row r="114" spans="1:46" ht="37.049999999999997" customHeight="1" x14ac:dyDescent="0.3">
      <c r="A114" s="16" t="s">
        <v>2236</v>
      </c>
      <c r="B114" s="16" t="s">
        <v>3000</v>
      </c>
      <c r="C114" s="16" t="s">
        <v>2237</v>
      </c>
      <c r="D114" s="17" t="s">
        <v>3001</v>
      </c>
      <c r="E114" s="17"/>
      <c r="F114" s="17" t="s">
        <v>3002</v>
      </c>
      <c r="G114" s="17"/>
      <c r="H114" s="17" t="s">
        <v>2238</v>
      </c>
      <c r="I114" s="17" t="s">
        <v>2239</v>
      </c>
      <c r="J114" s="17" t="s">
        <v>2271</v>
      </c>
      <c r="K114" s="17" t="s">
        <v>2241</v>
      </c>
      <c r="L114" s="17"/>
      <c r="M114" s="17"/>
      <c r="N114" s="17" t="s">
        <v>2272</v>
      </c>
      <c r="O114" s="17"/>
      <c r="P114" s="17" t="s">
        <v>2273</v>
      </c>
      <c r="Q114" s="17" t="s">
        <v>2274</v>
      </c>
      <c r="R114" s="17"/>
      <c r="S114" s="17"/>
      <c r="T114" s="17" t="s">
        <v>3003</v>
      </c>
      <c r="U114" s="17" t="s">
        <v>3004</v>
      </c>
      <c r="V114" s="16"/>
      <c r="W114" s="16" t="s">
        <v>2244</v>
      </c>
      <c r="X114" s="16"/>
      <c r="Y114" s="16"/>
      <c r="Z114" s="16"/>
      <c r="AA114" s="16"/>
      <c r="AB114" s="16"/>
      <c r="AC114" s="16"/>
      <c r="AD114" s="16"/>
      <c r="AE114" s="16"/>
      <c r="AF114" s="16" t="s">
        <v>2277</v>
      </c>
      <c r="AG114" s="16"/>
      <c r="AH114" s="16"/>
      <c r="AI114" s="16" t="s">
        <v>2278</v>
      </c>
      <c r="AJ114" s="16"/>
      <c r="AK114" s="16"/>
      <c r="AL114" s="16"/>
      <c r="AM114" s="16"/>
      <c r="AN114" s="16"/>
      <c r="AO114" s="16"/>
      <c r="AP114" s="16"/>
      <c r="AQ114" s="16"/>
      <c r="AR114" s="16"/>
      <c r="AS114" s="16" t="s">
        <v>2246</v>
      </c>
      <c r="AT114" s="16" t="s">
        <v>2279</v>
      </c>
    </row>
    <row r="115" spans="1:46" ht="37.049999999999997" customHeight="1" x14ac:dyDescent="0.3">
      <c r="A115" s="16" t="s">
        <v>2259</v>
      </c>
      <c r="B115" s="16" t="s">
        <v>3010</v>
      </c>
      <c r="C115" s="16" t="s">
        <v>2237</v>
      </c>
      <c r="D115" s="17" t="s">
        <v>3011</v>
      </c>
      <c r="E115" s="17"/>
      <c r="F115" s="17" t="s">
        <v>3012</v>
      </c>
      <c r="G115" s="17"/>
      <c r="H115" s="17" t="s">
        <v>2238</v>
      </c>
      <c r="I115" s="17" t="s">
        <v>2239</v>
      </c>
      <c r="J115" s="17" t="s">
        <v>2240</v>
      </c>
      <c r="K115" s="17" t="s">
        <v>2241</v>
      </c>
      <c r="L115" s="17"/>
      <c r="M115" s="17"/>
      <c r="N115" s="17" t="s">
        <v>3013</v>
      </c>
      <c r="O115" s="17"/>
      <c r="P115" s="17" t="s">
        <v>2242</v>
      </c>
      <c r="Q115" s="17" t="s">
        <v>2243</v>
      </c>
      <c r="R115" s="17"/>
      <c r="S115" s="17" t="s">
        <v>3014</v>
      </c>
      <c r="T115" s="17"/>
      <c r="U115" s="17" t="s">
        <v>3015</v>
      </c>
      <c r="V115" s="16"/>
      <c r="W115" s="16" t="s">
        <v>2244</v>
      </c>
      <c r="X115" s="16"/>
      <c r="Y115" s="16"/>
      <c r="Z115" s="16"/>
      <c r="AA115" s="16"/>
      <c r="AB115" s="16"/>
      <c r="AC115" s="16"/>
      <c r="AD115" s="16"/>
      <c r="AE115" s="16"/>
      <c r="AF115" s="16" t="s">
        <v>2245</v>
      </c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 t="s">
        <v>2246</v>
      </c>
      <c r="AT115" s="16" t="s">
        <v>2860</v>
      </c>
    </row>
    <row r="116" spans="1:46" ht="37.049999999999997" customHeight="1" x14ac:dyDescent="0.3">
      <c r="A116" s="16" t="s">
        <v>2550</v>
      </c>
      <c r="B116" s="16" t="s">
        <v>2551</v>
      </c>
      <c r="C116" s="16" t="s">
        <v>2237</v>
      </c>
      <c r="D116" s="17" t="s">
        <v>2552</v>
      </c>
      <c r="E116" s="17"/>
      <c r="F116" s="17" t="s">
        <v>2553</v>
      </c>
      <c r="G116" s="17"/>
      <c r="H116" s="17" t="s">
        <v>2238</v>
      </c>
      <c r="I116" s="17" t="s">
        <v>2239</v>
      </c>
      <c r="J116" s="17" t="s">
        <v>2507</v>
      </c>
      <c r="K116" s="17" t="s">
        <v>2508</v>
      </c>
      <c r="L116" s="17"/>
      <c r="M116" s="17"/>
      <c r="N116" s="17" t="s">
        <v>2264</v>
      </c>
      <c r="O116" s="17"/>
      <c r="P116" s="17" t="s">
        <v>2509</v>
      </c>
      <c r="Q116" s="17" t="s">
        <v>2510</v>
      </c>
      <c r="R116" s="17" t="s">
        <v>2554</v>
      </c>
      <c r="S116" s="17" t="s">
        <v>2555</v>
      </c>
      <c r="T116" s="17"/>
      <c r="U116" s="17" t="s">
        <v>2556</v>
      </c>
      <c r="V116" s="16" t="s">
        <v>2514</v>
      </c>
      <c r="W116" s="16" t="s">
        <v>2244</v>
      </c>
      <c r="X116" s="16"/>
      <c r="Y116" s="16"/>
      <c r="Z116" s="16"/>
      <c r="AA116" s="16"/>
      <c r="AB116" s="16"/>
      <c r="AC116" s="16"/>
      <c r="AD116" s="16"/>
      <c r="AE116" s="16"/>
      <c r="AF116" s="16" t="s">
        <v>2515</v>
      </c>
      <c r="AG116" s="16"/>
      <c r="AH116" s="16"/>
      <c r="AI116" s="16" t="s">
        <v>2516</v>
      </c>
      <c r="AJ116" s="16" t="s">
        <v>2526</v>
      </c>
      <c r="AK116" s="16"/>
      <c r="AL116" s="16"/>
      <c r="AM116" s="16"/>
      <c r="AN116" s="16"/>
      <c r="AO116" s="16"/>
      <c r="AP116" s="16"/>
      <c r="AQ116" s="16"/>
      <c r="AR116" s="16"/>
      <c r="AS116" s="16" t="s">
        <v>2246</v>
      </c>
      <c r="AT116" s="16" t="s">
        <v>2557</v>
      </c>
    </row>
    <row r="117" spans="1:46" ht="37.049999999999997" customHeight="1" x14ac:dyDescent="0.3">
      <c r="A117" s="16" t="s">
        <v>2818</v>
      </c>
      <c r="B117" s="16" t="s">
        <v>2819</v>
      </c>
      <c r="C117" s="16" t="s">
        <v>2237</v>
      </c>
      <c r="D117" s="17" t="s">
        <v>2820</v>
      </c>
      <c r="E117" s="17"/>
      <c r="F117" s="17" t="s">
        <v>2821</v>
      </c>
      <c r="G117" s="17"/>
      <c r="H117" s="17" t="s">
        <v>2238</v>
      </c>
      <c r="I117" s="17" t="s">
        <v>2239</v>
      </c>
      <c r="J117" s="17" t="s">
        <v>2508</v>
      </c>
      <c r="K117" s="17"/>
      <c r="L117" s="17"/>
      <c r="M117" s="17"/>
      <c r="N117" s="17" t="s">
        <v>2609</v>
      </c>
      <c r="O117" s="17"/>
      <c r="P117" s="17" t="s">
        <v>2610</v>
      </c>
      <c r="Q117" s="17" t="s">
        <v>2510</v>
      </c>
      <c r="R117" s="17" t="s">
        <v>2713</v>
      </c>
      <c r="S117" s="17"/>
      <c r="T117" s="17"/>
      <c r="U117" s="17" t="s">
        <v>2822</v>
      </c>
      <c r="V117" s="16" t="s">
        <v>2569</v>
      </c>
      <c r="W117" s="16" t="s">
        <v>2244</v>
      </c>
      <c r="X117" s="16"/>
      <c r="Y117" s="16"/>
      <c r="Z117" s="16"/>
      <c r="AA117" s="16"/>
      <c r="AB117" s="16"/>
      <c r="AC117" s="16"/>
      <c r="AD117" s="16"/>
      <c r="AE117" s="16"/>
      <c r="AF117" s="16" t="s">
        <v>2615</v>
      </c>
      <c r="AG117" s="16"/>
      <c r="AH117" s="16"/>
      <c r="AI117" s="16" t="s">
        <v>2616</v>
      </c>
      <c r="AJ117" s="16"/>
      <c r="AK117" s="16"/>
      <c r="AL117" s="16"/>
      <c r="AM117" s="16"/>
      <c r="AN117" s="16"/>
      <c r="AO117" s="16"/>
      <c r="AP117" s="16"/>
      <c r="AQ117" s="16"/>
      <c r="AR117" s="16"/>
      <c r="AS117" s="16" t="s">
        <v>2246</v>
      </c>
      <c r="AT117" s="16" t="s">
        <v>2617</v>
      </c>
    </row>
    <row r="118" spans="1:46" ht="37.049999999999997" customHeight="1" x14ac:dyDescent="0.3">
      <c r="A118" s="16" t="s">
        <v>2385</v>
      </c>
      <c r="B118" s="16" t="s">
        <v>2891</v>
      </c>
      <c r="C118" s="16" t="s">
        <v>2237</v>
      </c>
      <c r="D118" s="17" t="s">
        <v>2892</v>
      </c>
      <c r="E118" s="17"/>
      <c r="F118" s="17" t="s">
        <v>2893</v>
      </c>
      <c r="G118" s="17"/>
      <c r="H118" s="17"/>
      <c r="I118" s="17" t="s">
        <v>2239</v>
      </c>
      <c r="J118" s="17" t="s">
        <v>2881</v>
      </c>
      <c r="K118" s="17"/>
      <c r="L118" s="17"/>
      <c r="M118" s="17"/>
      <c r="N118" s="17"/>
      <c r="O118" s="17"/>
      <c r="P118" s="17" t="s">
        <v>2242</v>
      </c>
      <c r="Q118" s="17"/>
      <c r="R118" s="17" t="s">
        <v>2894</v>
      </c>
      <c r="S118" s="17" t="s">
        <v>2895</v>
      </c>
      <c r="T118" s="17"/>
      <c r="U118" s="17" t="s">
        <v>2896</v>
      </c>
      <c r="V118" s="16" t="s">
        <v>2897</v>
      </c>
      <c r="W118" s="16" t="s">
        <v>2244</v>
      </c>
      <c r="X118" s="16"/>
      <c r="Y118" s="16"/>
      <c r="Z118" s="16"/>
      <c r="AA118" s="16"/>
      <c r="AB118" s="16"/>
      <c r="AC118" s="16"/>
      <c r="AD118" s="16"/>
      <c r="AE118" s="16"/>
      <c r="AF118" s="16" t="s">
        <v>2245</v>
      </c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 t="s">
        <v>2246</v>
      </c>
      <c r="AT118" s="16" t="s">
        <v>2883</v>
      </c>
    </row>
    <row r="119" spans="1:46" ht="37.049999999999997" customHeight="1" x14ac:dyDescent="0.3">
      <c r="A119" s="16" t="s">
        <v>2823</v>
      </c>
      <c r="B119" s="16" t="s">
        <v>2824</v>
      </c>
      <c r="C119" s="16" t="s">
        <v>2237</v>
      </c>
      <c r="D119" s="17" t="s">
        <v>2825</v>
      </c>
      <c r="E119" s="17"/>
      <c r="F119" s="17" t="s">
        <v>2826</v>
      </c>
      <c r="G119" s="17"/>
      <c r="H119" s="17" t="s">
        <v>2238</v>
      </c>
      <c r="I119" s="17" t="s">
        <v>2239</v>
      </c>
      <c r="J119" s="17" t="s">
        <v>2508</v>
      </c>
      <c r="K119" s="17"/>
      <c r="L119" s="17"/>
      <c r="M119" s="17"/>
      <c r="N119" s="17" t="s">
        <v>2609</v>
      </c>
      <c r="O119" s="17"/>
      <c r="P119" s="17" t="s">
        <v>2610</v>
      </c>
      <c r="Q119" s="17" t="s">
        <v>2510</v>
      </c>
      <c r="R119" s="17" t="s">
        <v>2622</v>
      </c>
      <c r="S119" s="17"/>
      <c r="T119" s="17"/>
      <c r="U119" s="17" t="s">
        <v>2827</v>
      </c>
      <c r="V119" s="16" t="s">
        <v>2569</v>
      </c>
      <c r="W119" s="16" t="s">
        <v>2244</v>
      </c>
      <c r="X119" s="16"/>
      <c r="Y119" s="16"/>
      <c r="Z119" s="16"/>
      <c r="AA119" s="16"/>
      <c r="AB119" s="16"/>
      <c r="AC119" s="16"/>
      <c r="AD119" s="16"/>
      <c r="AE119" s="16"/>
      <c r="AF119" s="16" t="s">
        <v>2615</v>
      </c>
      <c r="AG119" s="16"/>
      <c r="AH119" s="16"/>
      <c r="AI119" s="16" t="s">
        <v>2616</v>
      </c>
      <c r="AJ119" s="16"/>
      <c r="AK119" s="16"/>
      <c r="AL119" s="16"/>
      <c r="AM119" s="16"/>
      <c r="AN119" s="16"/>
      <c r="AO119" s="16"/>
      <c r="AP119" s="16"/>
      <c r="AQ119" s="16"/>
      <c r="AR119" s="16"/>
      <c r="AS119" s="16" t="s">
        <v>2246</v>
      </c>
      <c r="AT119" s="16" t="s">
        <v>2617</v>
      </c>
    </row>
    <row r="120" spans="1:46" ht="37.049999999999997" customHeight="1" x14ac:dyDescent="0.3">
      <c r="A120" s="16" t="s">
        <v>2335</v>
      </c>
      <c r="B120" s="16" t="s">
        <v>2336</v>
      </c>
      <c r="C120" s="16" t="s">
        <v>2237</v>
      </c>
      <c r="D120" s="17" t="s">
        <v>2337</v>
      </c>
      <c r="E120" s="17"/>
      <c r="F120" s="17" t="s">
        <v>2338</v>
      </c>
      <c r="G120" s="17"/>
      <c r="H120" s="17" t="s">
        <v>2304</v>
      </c>
      <c r="I120" s="17" t="s">
        <v>2305</v>
      </c>
      <c r="J120" s="17" t="s">
        <v>2306</v>
      </c>
      <c r="K120" s="17" t="s">
        <v>2241</v>
      </c>
      <c r="L120" s="17"/>
      <c r="M120" s="17"/>
      <c r="N120" s="17" t="s">
        <v>2272</v>
      </c>
      <c r="O120" s="17"/>
      <c r="P120" s="17" t="s">
        <v>2273</v>
      </c>
      <c r="Q120" s="17" t="s">
        <v>2307</v>
      </c>
      <c r="R120" s="17"/>
      <c r="S120" s="17"/>
      <c r="T120" s="17" t="s">
        <v>2339</v>
      </c>
      <c r="U120" s="17" t="s">
        <v>2276</v>
      </c>
      <c r="V120" s="16"/>
      <c r="W120" s="16" t="s">
        <v>2244</v>
      </c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 t="s">
        <v>2309</v>
      </c>
      <c r="AJ120" s="16"/>
      <c r="AK120" s="16"/>
      <c r="AL120" s="16"/>
      <c r="AM120" s="16"/>
      <c r="AN120" s="16"/>
      <c r="AO120" s="16"/>
      <c r="AP120" s="16"/>
      <c r="AQ120" s="16"/>
      <c r="AR120" s="16"/>
      <c r="AS120" s="16" t="s">
        <v>2246</v>
      </c>
      <c r="AT120" s="16" t="s">
        <v>2279</v>
      </c>
    </row>
    <row r="121" spans="1:46" ht="37.049999999999997" customHeight="1" x14ac:dyDescent="0.3">
      <c r="A121" s="16" t="s">
        <v>2310</v>
      </c>
      <c r="B121" s="16" t="s">
        <v>2311</v>
      </c>
      <c r="C121" s="16" t="s">
        <v>2237</v>
      </c>
      <c r="D121" s="17" t="s">
        <v>2312</v>
      </c>
      <c r="E121" s="17"/>
      <c r="F121" s="17" t="s">
        <v>2313</v>
      </c>
      <c r="G121" s="17"/>
      <c r="H121" s="17" t="s">
        <v>2304</v>
      </c>
      <c r="I121" s="17" t="s">
        <v>2305</v>
      </c>
      <c r="J121" s="17" t="s">
        <v>2306</v>
      </c>
      <c r="K121" s="17" t="s">
        <v>2241</v>
      </c>
      <c r="L121" s="17"/>
      <c r="M121" s="17"/>
      <c r="N121" s="17" t="s">
        <v>2272</v>
      </c>
      <c r="O121" s="17"/>
      <c r="P121" s="17" t="s">
        <v>2273</v>
      </c>
      <c r="Q121" s="17" t="s">
        <v>2307</v>
      </c>
      <c r="R121" s="17"/>
      <c r="S121" s="17"/>
      <c r="T121" s="17" t="s">
        <v>2314</v>
      </c>
      <c r="U121" s="17" t="s">
        <v>2315</v>
      </c>
      <c r="V121" s="16"/>
      <c r="W121" s="16" t="s">
        <v>2244</v>
      </c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 t="s">
        <v>2309</v>
      </c>
      <c r="AJ121" s="16"/>
      <c r="AK121" s="16"/>
      <c r="AL121" s="16"/>
      <c r="AM121" s="16"/>
      <c r="AN121" s="16"/>
      <c r="AO121" s="16"/>
      <c r="AP121" s="16"/>
      <c r="AQ121" s="16"/>
      <c r="AR121" s="16"/>
      <c r="AS121" s="16" t="s">
        <v>2246</v>
      </c>
      <c r="AT121" s="16" t="s">
        <v>2279</v>
      </c>
    </row>
    <row r="122" spans="1:46" ht="37.049999999999997" customHeight="1" x14ac:dyDescent="0.3">
      <c r="A122" s="16" t="s">
        <v>2416</v>
      </c>
      <c r="B122" s="16" t="s">
        <v>2417</v>
      </c>
      <c r="C122" s="16" t="s">
        <v>2237</v>
      </c>
      <c r="D122" s="17" t="s">
        <v>2418</v>
      </c>
      <c r="E122" s="17"/>
      <c r="F122" s="17" t="s">
        <v>2419</v>
      </c>
      <c r="G122" s="17"/>
      <c r="H122" s="17" t="s">
        <v>2238</v>
      </c>
      <c r="I122" s="17" t="s">
        <v>2239</v>
      </c>
      <c r="J122" s="17" t="s">
        <v>2365</v>
      </c>
      <c r="K122" s="17" t="s">
        <v>2241</v>
      </c>
      <c r="L122" s="17"/>
      <c r="M122" s="17"/>
      <c r="N122" s="17" t="s">
        <v>2264</v>
      </c>
      <c r="O122" s="17"/>
      <c r="P122" s="17" t="s">
        <v>2253</v>
      </c>
      <c r="Q122" s="17" t="s">
        <v>2254</v>
      </c>
      <c r="R122" s="17"/>
      <c r="S122" s="17" t="s">
        <v>2314</v>
      </c>
      <c r="T122" s="17"/>
      <c r="U122" s="17" t="s">
        <v>2315</v>
      </c>
      <c r="V122" s="16"/>
      <c r="W122" s="16" t="s">
        <v>2244</v>
      </c>
      <c r="X122" s="16"/>
      <c r="Y122" s="16"/>
      <c r="Z122" s="16"/>
      <c r="AA122" s="16"/>
      <c r="AB122" s="16"/>
      <c r="AC122" s="16"/>
      <c r="AD122" s="16"/>
      <c r="AE122" s="16"/>
      <c r="AF122" s="16" t="s">
        <v>2370</v>
      </c>
      <c r="AG122" s="16"/>
      <c r="AH122" s="16"/>
      <c r="AI122" s="16" t="s">
        <v>2371</v>
      </c>
      <c r="AJ122" s="16"/>
      <c r="AK122" s="16"/>
      <c r="AL122" s="16"/>
      <c r="AM122" s="16"/>
      <c r="AN122" s="16"/>
      <c r="AO122" s="16"/>
      <c r="AP122" s="16"/>
      <c r="AQ122" s="16"/>
      <c r="AR122" s="16"/>
      <c r="AS122" s="16" t="s">
        <v>2246</v>
      </c>
      <c r="AT122" s="16" t="s">
        <v>2355</v>
      </c>
    </row>
    <row r="123" spans="1:46" ht="37.049999999999997" customHeight="1" x14ac:dyDescent="0.3">
      <c r="A123" s="16" t="s">
        <v>2356</v>
      </c>
      <c r="B123" s="16" t="s">
        <v>2357</v>
      </c>
      <c r="C123" s="16" t="s">
        <v>2237</v>
      </c>
      <c r="D123" s="17" t="s">
        <v>2358</v>
      </c>
      <c r="E123" s="17"/>
      <c r="F123" s="17" t="s">
        <v>2359</v>
      </c>
      <c r="G123" s="17"/>
      <c r="H123" s="17" t="s">
        <v>2238</v>
      </c>
      <c r="I123" s="17" t="s">
        <v>2239</v>
      </c>
      <c r="J123" s="17" t="s">
        <v>2350</v>
      </c>
      <c r="K123" s="17" t="s">
        <v>2241</v>
      </c>
      <c r="L123" s="17"/>
      <c r="M123" s="17"/>
      <c r="N123" s="17" t="s">
        <v>2264</v>
      </c>
      <c r="O123" s="17"/>
      <c r="P123" s="17" t="s">
        <v>2253</v>
      </c>
      <c r="Q123" s="17" t="s">
        <v>2274</v>
      </c>
      <c r="R123" s="17"/>
      <c r="S123" s="17" t="s">
        <v>2360</v>
      </c>
      <c r="T123" s="17"/>
      <c r="U123" s="17" t="s">
        <v>2315</v>
      </c>
      <c r="V123" s="16"/>
      <c r="W123" s="16" t="s">
        <v>2244</v>
      </c>
      <c r="X123" s="16"/>
      <c r="Y123" s="16"/>
      <c r="Z123" s="16"/>
      <c r="AA123" s="16"/>
      <c r="AB123" s="16"/>
      <c r="AC123" s="16"/>
      <c r="AD123" s="16"/>
      <c r="AE123" s="16"/>
      <c r="AF123" s="16" t="s">
        <v>2353</v>
      </c>
      <c r="AG123" s="16"/>
      <c r="AH123" s="16"/>
      <c r="AI123" s="16" t="s">
        <v>2354</v>
      </c>
      <c r="AJ123" s="16"/>
      <c r="AK123" s="16"/>
      <c r="AL123" s="16"/>
      <c r="AM123" s="16"/>
      <c r="AN123" s="16"/>
      <c r="AO123" s="16"/>
      <c r="AP123" s="16"/>
      <c r="AQ123" s="16"/>
      <c r="AR123" s="16"/>
      <c r="AS123" s="16" t="s">
        <v>2246</v>
      </c>
      <c r="AT123" s="16" t="s">
        <v>2355</v>
      </c>
    </row>
    <row r="124" spans="1:46" ht="37.049999999999997" customHeight="1" x14ac:dyDescent="0.3">
      <c r="A124" s="16" t="s">
        <v>2574</v>
      </c>
      <c r="B124" s="16" t="s">
        <v>2575</v>
      </c>
      <c r="C124" s="16" t="s">
        <v>2237</v>
      </c>
      <c r="D124" s="17" t="s">
        <v>2576</v>
      </c>
      <c r="E124" s="17"/>
      <c r="F124" s="17" t="s">
        <v>2577</v>
      </c>
      <c r="G124" s="17"/>
      <c r="H124" s="17" t="s">
        <v>2238</v>
      </c>
      <c r="I124" s="17" t="s">
        <v>2239</v>
      </c>
      <c r="J124" s="17" t="s">
        <v>2562</v>
      </c>
      <c r="K124" s="17"/>
      <c r="L124" s="17"/>
      <c r="M124" s="17"/>
      <c r="N124" s="17" t="s">
        <v>2578</v>
      </c>
      <c r="O124" s="17" t="s">
        <v>2563</v>
      </c>
      <c r="P124" s="17" t="s">
        <v>2564</v>
      </c>
      <c r="Q124" s="17" t="s">
        <v>2565</v>
      </c>
      <c r="R124" s="17" t="s">
        <v>2579</v>
      </c>
      <c r="S124" s="17" t="s">
        <v>2580</v>
      </c>
      <c r="T124" s="17"/>
      <c r="U124" s="17" t="s">
        <v>2581</v>
      </c>
      <c r="V124" s="16" t="s">
        <v>2569</v>
      </c>
      <c r="W124" s="16" t="s">
        <v>2244</v>
      </c>
      <c r="X124" s="16"/>
      <c r="Y124" s="16"/>
      <c r="Z124" s="16"/>
      <c r="AA124" s="16" t="s">
        <v>2582</v>
      </c>
      <c r="AB124" s="16"/>
      <c r="AC124" s="16"/>
      <c r="AD124" s="16"/>
      <c r="AE124" s="16"/>
      <c r="AF124" s="16" t="s">
        <v>2571</v>
      </c>
      <c r="AG124" s="16"/>
      <c r="AH124" s="16"/>
      <c r="AI124" s="16" t="s">
        <v>2572</v>
      </c>
      <c r="AJ124" s="16"/>
      <c r="AK124" s="16"/>
      <c r="AL124" s="16"/>
      <c r="AM124" s="16"/>
      <c r="AN124" s="16"/>
      <c r="AO124" s="16"/>
      <c r="AP124" s="16"/>
      <c r="AQ124" s="16"/>
      <c r="AR124" s="16"/>
      <c r="AS124" s="16" t="s">
        <v>2246</v>
      </c>
      <c r="AT124" s="16" t="s">
        <v>2573</v>
      </c>
    </row>
    <row r="125" spans="1:46" s="21" customFormat="1" ht="37.049999999999997" customHeigh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</row>
    <row r="126" spans="1:46" s="21" customFormat="1" ht="37.049999999999997" customHeight="1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</row>
    <row r="127" spans="1:46" s="21" customFormat="1" ht="37.049999999999997" customHeight="1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</row>
    <row r="128" spans="1:46" s="21" customFormat="1" ht="37.049999999999997" customHeight="1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</row>
    <row r="129" spans="1:46" s="21" customFormat="1" ht="37.049999999999997" customHeight="1" x14ac:dyDescent="0.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</row>
    <row r="130" spans="1:46" s="21" customFormat="1" ht="37.049999999999997" customHeight="1" x14ac:dyDescent="0.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</row>
    <row r="131" spans="1:46" s="21" customFormat="1" ht="37.049999999999997" customHeight="1" x14ac:dyDescent="0.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</row>
    <row r="132" spans="1:46" s="21" customFormat="1" ht="37.049999999999997" customHeight="1" x14ac:dyDescent="0.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</row>
    <row r="133" spans="1:46" s="21" customFormat="1" ht="37.049999999999997" customHeight="1" x14ac:dyDescent="0.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</row>
    <row r="134" spans="1:46" s="21" customFormat="1" ht="37.049999999999997" customHeight="1" x14ac:dyDescent="0.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</row>
    <row r="135" spans="1:46" s="21" customFormat="1" ht="37.049999999999997" customHeight="1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</row>
    <row r="136" spans="1:46" s="21" customFormat="1" ht="37.049999999999997" customHeight="1" x14ac:dyDescent="0.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</row>
    <row r="137" spans="1:46" s="21" customFormat="1" ht="37.049999999999997" customHeight="1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</row>
    <row r="138" spans="1:46" s="21" customFormat="1" ht="37.049999999999997" customHeight="1" x14ac:dyDescent="0.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</row>
    <row r="139" spans="1:46" s="21" customFormat="1" ht="37.049999999999997" customHeight="1" x14ac:dyDescent="0.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</row>
    <row r="140" spans="1:46" s="21" customFormat="1" ht="37.049999999999997" customHeight="1" x14ac:dyDescent="0.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</row>
    <row r="141" spans="1:46" s="21" customFormat="1" ht="37.049999999999997" customHeight="1" x14ac:dyDescent="0.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</row>
    <row r="142" spans="1:46" s="21" customFormat="1" ht="37.049999999999997" customHeight="1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</row>
    <row r="143" spans="1:46" s="21" customFormat="1" ht="37.049999999999997" customHeight="1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</row>
    <row r="144" spans="1:46" s="21" customFormat="1" ht="37.049999999999997" customHeight="1" x14ac:dyDescent="0.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</row>
    <row r="145" spans="1:46" s="21" customFormat="1" ht="37.049999999999997" customHeight="1" x14ac:dyDescent="0.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</row>
    <row r="146" spans="1:46" s="21" customFormat="1" ht="37.049999999999997" customHeigh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</row>
    <row r="147" spans="1:46" s="21" customFormat="1" ht="37.049999999999997" customHeight="1" x14ac:dyDescent="0.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</row>
    <row r="148" spans="1:46" s="21" customFormat="1" ht="37.049999999999997" customHeight="1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</row>
    <row r="149" spans="1:46" s="21" customFormat="1" ht="37.049999999999997" customHeight="1" x14ac:dyDescent="0.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</row>
    <row r="150" spans="1:46" s="21" customFormat="1" ht="37.049999999999997" customHeight="1" x14ac:dyDescent="0.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</row>
    <row r="151" spans="1:46" s="21" customFormat="1" ht="37.049999999999997" customHeight="1" x14ac:dyDescent="0.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</row>
    <row r="152" spans="1:46" s="21" customFormat="1" ht="37.049999999999997" customHeight="1" x14ac:dyDescent="0.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</row>
    <row r="153" spans="1:46" s="21" customFormat="1" ht="37.049999999999997" customHeight="1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</row>
    <row r="154" spans="1:46" s="21" customFormat="1" ht="37.049999999999997" customHeight="1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</row>
    <row r="155" spans="1:46" s="21" customFormat="1" ht="37.049999999999997" customHeight="1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</row>
    <row r="156" spans="1:46" s="21" customFormat="1" ht="37.049999999999997" customHeight="1" x14ac:dyDescent="0.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</row>
    <row r="157" spans="1:46" s="21" customFormat="1" ht="37.049999999999997" customHeight="1" x14ac:dyDescent="0.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</row>
    <row r="158" spans="1:46" s="21" customFormat="1" ht="37.049999999999997" customHeight="1" x14ac:dyDescent="0.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</row>
    <row r="159" spans="1:46" s="21" customFormat="1" ht="37.049999999999997" customHeight="1" x14ac:dyDescent="0.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</row>
    <row r="160" spans="1:46" s="21" customFormat="1" ht="37.049999999999997" customHeight="1" x14ac:dyDescent="0.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</row>
    <row r="161" spans="1:46" s="21" customFormat="1" ht="37.049999999999997" customHeight="1" x14ac:dyDescent="0.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</row>
    <row r="162" spans="1:46" s="21" customFormat="1" ht="37.049999999999997" customHeight="1" x14ac:dyDescent="0.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</row>
    <row r="163" spans="1:46" s="21" customFormat="1" ht="37.049999999999997" customHeight="1" x14ac:dyDescent="0.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</row>
    <row r="164" spans="1:46" s="21" customFormat="1" ht="37.049999999999997" customHeight="1" x14ac:dyDescent="0.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</row>
    <row r="165" spans="1:46" s="21" customFormat="1" ht="37.049999999999997" customHeight="1" x14ac:dyDescent="0.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</row>
    <row r="166" spans="1:46" s="21" customFormat="1" ht="37.049999999999997" customHeight="1" x14ac:dyDescent="0.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</row>
    <row r="167" spans="1:46" s="21" customFormat="1" ht="37.049999999999997" customHeight="1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</row>
    <row r="168" spans="1:46" s="21" customFormat="1" ht="37.049999999999997" customHeight="1" x14ac:dyDescent="0.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</row>
    <row r="169" spans="1:46" s="21" customFormat="1" ht="37.049999999999997" customHeight="1" x14ac:dyDescent="0.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</row>
    <row r="170" spans="1:46" s="21" customFormat="1" ht="37.049999999999997" customHeight="1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</row>
    <row r="171" spans="1:46" s="21" customFormat="1" ht="37.049999999999997" customHeight="1" x14ac:dyDescent="0.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</row>
    <row r="172" spans="1:46" s="21" customFormat="1" ht="37.049999999999997" customHeight="1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</row>
    <row r="173" spans="1:46" s="21" customFormat="1" ht="37.049999999999997" customHeight="1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</row>
    <row r="174" spans="1:46" s="21" customFormat="1" ht="37.049999999999997" customHeight="1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</row>
    <row r="175" spans="1:46" s="21" customFormat="1" ht="37.049999999999997" customHeight="1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</row>
    <row r="176" spans="1:46" s="21" customFormat="1" ht="37.049999999999997" customHeight="1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</row>
    <row r="177" spans="1:46" s="21" customFormat="1" ht="37.049999999999997" customHeight="1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</row>
    <row r="178" spans="1:46" s="21" customFormat="1" ht="37.049999999999997" customHeight="1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</row>
    <row r="179" spans="1:46" s="21" customFormat="1" ht="37.049999999999997" customHeight="1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</row>
    <row r="180" spans="1:46" s="21" customFormat="1" ht="37.049999999999997" customHeight="1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</row>
    <row r="181" spans="1:46" s="21" customFormat="1" ht="37.049999999999997" customHeight="1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</row>
    <row r="182" spans="1:46" s="21" customFormat="1" ht="50.4" customHeight="1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</row>
    <row r="183" spans="1:46" s="21" customFormat="1" ht="37.049999999999997" customHeight="1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</row>
    <row r="184" spans="1:46" s="21" customFormat="1" ht="37.049999999999997" customHeight="1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</row>
    <row r="185" spans="1:46" s="21" customFormat="1" ht="37.049999999999997" customHeight="1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</row>
    <row r="186" spans="1:46" s="21" customFormat="1" ht="37.049999999999997" customHeight="1" x14ac:dyDescent="0.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</row>
    <row r="187" spans="1:46" s="21" customFormat="1" ht="37.049999999999997" customHeight="1" x14ac:dyDescent="0.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</row>
    <row r="188" spans="1:46" s="21" customFormat="1" ht="37.049999999999997" customHeight="1" x14ac:dyDescent="0.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</row>
    <row r="189" spans="1:46" s="21" customFormat="1" ht="37.049999999999997" customHeight="1" x14ac:dyDescent="0.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</row>
    <row r="190" spans="1:46" s="21" customFormat="1" ht="37.049999999999997" customHeight="1" x14ac:dyDescent="0.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</row>
    <row r="191" spans="1:46" s="21" customFormat="1" ht="37.049999999999997" customHeight="1" x14ac:dyDescent="0.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</row>
    <row r="192" spans="1:46" s="21" customFormat="1" ht="37.049999999999997" customHeight="1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</row>
    <row r="193" spans="1:46" s="21" customFormat="1" ht="37.049999999999997" customHeight="1" x14ac:dyDescent="0.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</row>
    <row r="194" spans="1:46" s="21" customFormat="1" ht="37.049999999999997" customHeight="1" x14ac:dyDescent="0.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</row>
    <row r="195" spans="1:46" s="21" customFormat="1" ht="37.049999999999997" customHeight="1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</row>
    <row r="196" spans="1:46" s="21" customFormat="1" ht="37.049999999999997" customHeight="1" x14ac:dyDescent="0.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</row>
    <row r="197" spans="1:46" s="21" customFormat="1" ht="37.049999999999997" customHeight="1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</row>
    <row r="198" spans="1:46" s="21" customFormat="1" ht="37.049999999999997" customHeight="1" x14ac:dyDescent="0.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</row>
    <row r="199" spans="1:46" s="21" customFormat="1" ht="37.049999999999997" customHeight="1" x14ac:dyDescent="0.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</row>
    <row r="200" spans="1:46" s="21" customFormat="1" ht="37.049999999999997" customHeight="1" x14ac:dyDescent="0.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</row>
    <row r="201" spans="1:46" s="21" customFormat="1" ht="37.049999999999997" customHeight="1" x14ac:dyDescent="0.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</row>
    <row r="202" spans="1:46" s="21" customFormat="1" ht="37.049999999999997" customHeight="1" x14ac:dyDescent="0.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</row>
    <row r="203" spans="1:46" s="21" customFormat="1" ht="37.049999999999997" customHeight="1" x14ac:dyDescent="0.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</row>
    <row r="204" spans="1:46" s="21" customFormat="1" ht="37.049999999999997" customHeight="1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</row>
    <row r="205" spans="1:46" s="21" customFormat="1" ht="37.049999999999997" customHeight="1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</row>
    <row r="206" spans="1:46" s="21" customFormat="1" ht="37.049999999999997" customHeight="1" x14ac:dyDescent="0.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</row>
    <row r="207" spans="1:46" s="21" customFormat="1" ht="37.049999999999997" customHeight="1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</row>
    <row r="208" spans="1:46" s="21" customFormat="1" ht="37.049999999999997" customHeight="1" x14ac:dyDescent="0.3"/>
    <row r="209" s="21" customFormat="1" ht="37.049999999999997" customHeight="1" x14ac:dyDescent="0.3"/>
    <row r="210" s="21" customFormat="1" ht="37.049999999999997" customHeight="1" x14ac:dyDescent="0.3"/>
    <row r="211" s="21" customFormat="1" ht="37.049999999999997" customHeight="1" x14ac:dyDescent="0.3"/>
    <row r="212" s="21" customFormat="1" ht="37.049999999999997" customHeight="1" x14ac:dyDescent="0.3"/>
    <row r="213" s="21" customFormat="1" ht="37.049999999999997" customHeight="1" x14ac:dyDescent="0.3"/>
    <row r="214" s="21" customFormat="1" ht="37.049999999999997" customHeight="1" x14ac:dyDescent="0.3"/>
    <row r="215" s="21" customFormat="1" ht="37.049999999999997" customHeight="1" x14ac:dyDescent="0.3"/>
    <row r="216" s="21" customFormat="1" ht="37.049999999999997" customHeight="1" x14ac:dyDescent="0.3"/>
    <row r="217" s="21" customFormat="1" ht="37.049999999999997" customHeight="1" x14ac:dyDescent="0.3"/>
    <row r="218" s="21" customFormat="1" ht="37.049999999999997" customHeight="1" x14ac:dyDescent="0.3"/>
    <row r="219" s="21" customFormat="1" ht="37.049999999999997" customHeight="1" x14ac:dyDescent="0.3"/>
    <row r="220" s="21" customFormat="1" ht="37.049999999999997" customHeight="1" x14ac:dyDescent="0.3"/>
    <row r="221" s="21" customFormat="1" ht="37.049999999999997" customHeight="1" x14ac:dyDescent="0.3"/>
    <row r="222" s="21" customFormat="1" ht="37.049999999999997" customHeight="1" x14ac:dyDescent="0.3"/>
    <row r="223" s="21" customFormat="1" ht="37.049999999999997" customHeight="1" x14ac:dyDescent="0.3"/>
    <row r="224" s="21" customFormat="1" ht="37.049999999999997" customHeight="1" x14ac:dyDescent="0.3"/>
    <row r="225" s="21" customFormat="1" ht="37.049999999999997" customHeight="1" x14ac:dyDescent="0.3"/>
    <row r="226" s="21" customFormat="1" ht="37.049999999999997" customHeight="1" x14ac:dyDescent="0.3"/>
    <row r="227" s="21" customFormat="1" ht="37.049999999999997" customHeight="1" x14ac:dyDescent="0.3"/>
    <row r="228" s="21" customFormat="1" ht="37.049999999999997" customHeight="1" x14ac:dyDescent="0.3"/>
    <row r="229" s="21" customFormat="1" ht="37.049999999999997" customHeight="1" x14ac:dyDescent="0.3"/>
    <row r="230" s="21" customFormat="1" ht="37.049999999999997" customHeight="1" x14ac:dyDescent="0.3"/>
    <row r="231" s="21" customFormat="1" ht="37.049999999999997" customHeight="1" x14ac:dyDescent="0.3"/>
    <row r="232" s="21" customFormat="1" ht="37.049999999999997" customHeight="1" x14ac:dyDescent="0.3"/>
    <row r="233" s="21" customFormat="1" ht="37.049999999999997" customHeight="1" x14ac:dyDescent="0.3"/>
    <row r="234" s="21" customFormat="1" ht="37.049999999999997" customHeight="1" x14ac:dyDescent="0.3"/>
    <row r="235" s="21" customFormat="1" ht="37.049999999999997" customHeight="1" x14ac:dyDescent="0.3"/>
    <row r="236" s="21" customFormat="1" ht="37.049999999999997" customHeight="1" x14ac:dyDescent="0.3"/>
    <row r="237" s="21" customFormat="1" ht="37.049999999999997" customHeight="1" x14ac:dyDescent="0.3"/>
    <row r="238" s="21" customFormat="1" ht="37.049999999999997" customHeight="1" x14ac:dyDescent="0.3"/>
    <row r="239" s="21" customFormat="1" ht="37.049999999999997" customHeight="1" x14ac:dyDescent="0.3"/>
    <row r="240" s="21" customFormat="1" ht="37.049999999999997" customHeight="1" x14ac:dyDescent="0.3"/>
    <row r="241" s="21" customFormat="1" ht="37.049999999999997" customHeight="1" x14ac:dyDescent="0.3"/>
    <row r="242" s="21" customFormat="1" ht="37.049999999999997" customHeight="1" x14ac:dyDescent="0.3"/>
    <row r="243" s="21" customFormat="1" ht="37.049999999999997" customHeight="1" x14ac:dyDescent="0.3"/>
    <row r="244" s="21" customFormat="1" ht="37.049999999999997" customHeight="1" x14ac:dyDescent="0.3"/>
    <row r="245" s="21" customFormat="1" ht="37.049999999999997" customHeight="1" x14ac:dyDescent="0.3"/>
    <row r="246" s="21" customFormat="1" ht="37.049999999999997" customHeight="1" x14ac:dyDescent="0.3"/>
    <row r="247" s="21" customFormat="1" ht="37.049999999999997" customHeight="1" x14ac:dyDescent="0.3"/>
    <row r="248" s="21" customFormat="1" ht="37.049999999999997" customHeight="1" x14ac:dyDescent="0.3"/>
    <row r="249" s="21" customFormat="1" ht="37.049999999999997" customHeight="1" x14ac:dyDescent="0.3"/>
    <row r="250" s="21" customFormat="1" ht="37.049999999999997" customHeight="1" x14ac:dyDescent="0.3"/>
    <row r="251" s="21" customFormat="1" ht="37.049999999999997" customHeight="1" x14ac:dyDescent="0.3"/>
    <row r="252" s="21" customFormat="1" ht="37.049999999999997" customHeight="1" x14ac:dyDescent="0.3"/>
    <row r="253" s="21" customFormat="1" ht="37.049999999999997" customHeight="1" x14ac:dyDescent="0.3"/>
    <row r="254" s="21" customFormat="1" ht="37.049999999999997" customHeight="1" x14ac:dyDescent="0.3"/>
    <row r="255" s="21" customFormat="1" ht="37.049999999999997" customHeight="1" x14ac:dyDescent="0.3"/>
    <row r="256" s="21" customFormat="1" ht="37.049999999999997" customHeight="1" x14ac:dyDescent="0.3"/>
    <row r="257" s="21" customFormat="1" ht="37.049999999999997" customHeight="1" x14ac:dyDescent="0.3"/>
    <row r="258" s="21" customFormat="1" ht="37.049999999999997" customHeight="1" x14ac:dyDescent="0.3"/>
    <row r="259" s="21" customFormat="1" ht="37.049999999999997" customHeight="1" x14ac:dyDescent="0.3"/>
    <row r="260" s="21" customFormat="1" ht="37.049999999999997" customHeight="1" x14ac:dyDescent="0.3"/>
    <row r="261" s="21" customFormat="1" ht="37.049999999999997" customHeight="1" x14ac:dyDescent="0.3"/>
    <row r="262" s="21" customFormat="1" ht="37.049999999999997" customHeight="1" x14ac:dyDescent="0.3"/>
    <row r="263" s="21" customFormat="1" ht="37.049999999999997" customHeight="1" x14ac:dyDescent="0.3"/>
    <row r="264" s="21" customFormat="1" ht="37.049999999999997" customHeight="1" x14ac:dyDescent="0.3"/>
    <row r="265" s="21" customFormat="1" ht="37.049999999999997" customHeight="1" x14ac:dyDescent="0.3"/>
    <row r="266" s="21" customFormat="1" ht="37.049999999999997" customHeight="1" x14ac:dyDescent="0.3"/>
    <row r="267" s="21" customFormat="1" ht="37.049999999999997" customHeight="1" x14ac:dyDescent="0.3"/>
    <row r="268" s="21" customFormat="1" ht="37.049999999999997" customHeight="1" x14ac:dyDescent="0.3"/>
    <row r="269" s="21" customFormat="1" ht="37.049999999999997" customHeight="1" x14ac:dyDescent="0.3"/>
    <row r="270" s="21" customFormat="1" ht="37.049999999999997" customHeight="1" x14ac:dyDescent="0.3"/>
    <row r="271" s="21" customFormat="1" ht="37.049999999999997" customHeight="1" x14ac:dyDescent="0.3"/>
    <row r="272" s="21" customFormat="1" ht="37.049999999999997" customHeight="1" x14ac:dyDescent="0.3"/>
    <row r="273" spans="4:21" s="21" customFormat="1" ht="37.049999999999997" customHeight="1" x14ac:dyDescent="0.3"/>
    <row r="274" spans="4:21" s="21" customFormat="1" ht="37.049999999999997" customHeight="1" x14ac:dyDescent="0.3"/>
    <row r="275" spans="4:21" ht="37.049999999999997" customHeight="1" x14ac:dyDescent="0.3"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4:21" ht="37.049999999999997" customHeight="1" x14ac:dyDescent="0.3"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4:21" ht="37.049999999999997" customHeight="1" x14ac:dyDescent="0.3"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4:21" ht="37.049999999999997" customHeight="1" x14ac:dyDescent="0.3"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4:21" ht="37.049999999999997" customHeight="1" x14ac:dyDescent="0.3"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4:21" ht="37.049999999999997" customHeight="1" x14ac:dyDescent="0.3"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4:21" ht="37.049999999999997" customHeight="1" x14ac:dyDescent="0.3"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4:21" ht="37.049999999999997" customHeight="1" x14ac:dyDescent="0.3"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4:21" ht="37.049999999999997" customHeight="1" x14ac:dyDescent="0.3"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4:21" ht="37.049999999999997" customHeight="1" x14ac:dyDescent="0.3"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4:21" ht="37.049999999999997" customHeight="1" x14ac:dyDescent="0.3"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4:21" ht="37.049999999999997" customHeight="1" x14ac:dyDescent="0.3"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4:21" ht="37.049999999999997" customHeight="1" x14ac:dyDescent="0.3"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4:21" ht="37.049999999999997" customHeight="1" x14ac:dyDescent="0.3"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46" ht="37.049999999999997" customHeight="1" x14ac:dyDescent="0.3"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46" ht="37.049999999999997" customHeight="1" x14ac:dyDescent="0.3"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46" ht="37.049999999999997" customHeight="1" x14ac:dyDescent="0.3"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46" ht="37.049999999999997" customHeight="1" x14ac:dyDescent="0.3"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46" ht="37.049999999999997" customHeight="1" x14ac:dyDescent="0.3"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46" ht="37.049999999999997" customHeight="1" x14ac:dyDescent="0.3"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46" ht="37.049999999999997" customHeight="1" x14ac:dyDescent="0.3"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46" ht="37.049999999999997" customHeight="1" x14ac:dyDescent="0.3"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46" ht="37.049999999999997" customHeight="1" x14ac:dyDescent="0.3"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46" ht="37.049999999999997" customHeight="1" x14ac:dyDescent="0.3"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46" ht="37.049999999999997" customHeight="1" x14ac:dyDescent="0.3"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46" ht="37.049999999999997" customHeight="1" x14ac:dyDescent="0.3"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46" ht="37.049999999999997" customHeight="1" x14ac:dyDescent="0.3"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46" ht="54" customHeight="1" x14ac:dyDescent="0.3"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46" ht="37.049999999999997" customHeight="1" x14ac:dyDescent="0.3">
      <c r="A303" s="16"/>
      <c r="B303" s="16"/>
      <c r="C303" s="16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</row>
    <row r="304" spans="1:46" ht="37.049999999999997" customHeight="1" x14ac:dyDescent="0.3">
      <c r="A304" s="16"/>
      <c r="B304" s="16"/>
      <c r="C304" s="16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</row>
    <row r="305" spans="1:46" ht="37.049999999999997" customHeight="1" x14ac:dyDescent="0.3">
      <c r="A305" s="16"/>
      <c r="B305" s="16"/>
      <c r="C305" s="16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</row>
    <row r="306" spans="1:46" ht="37.049999999999997" customHeight="1" x14ac:dyDescent="0.3">
      <c r="A306" s="16"/>
      <c r="B306" s="16"/>
      <c r="C306" s="16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</row>
    <row r="307" spans="1:46" ht="37.049999999999997" customHeight="1" x14ac:dyDescent="0.3">
      <c r="A307" s="16"/>
      <c r="B307" s="16"/>
      <c r="C307" s="16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</row>
    <row r="308" spans="1:46" ht="37.049999999999997" customHeight="1" x14ac:dyDescent="0.3">
      <c r="A308" s="16"/>
      <c r="B308" s="16"/>
      <c r="C308" s="16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</row>
    <row r="309" spans="1:46" ht="37.049999999999997" customHeight="1" x14ac:dyDescent="0.3">
      <c r="A309" s="16"/>
      <c r="B309" s="16"/>
      <c r="C309" s="16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</row>
    <row r="310" spans="1:46" ht="37.049999999999997" customHeight="1" x14ac:dyDescent="0.3">
      <c r="A310" s="16"/>
      <c r="B310" s="16"/>
      <c r="C310" s="16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</row>
    <row r="311" spans="1:46" ht="37.049999999999997" customHeight="1" x14ac:dyDescent="0.3">
      <c r="A311" s="16"/>
      <c r="B311" s="16"/>
      <c r="C311" s="16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</row>
    <row r="312" spans="1:46" ht="37.049999999999997" customHeight="1" x14ac:dyDescent="0.3">
      <c r="A312" s="16"/>
      <c r="B312" s="16"/>
      <c r="C312" s="16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</row>
    <row r="313" spans="1:46" ht="37.049999999999997" customHeight="1" x14ac:dyDescent="0.3">
      <c r="A313" s="16"/>
      <c r="B313" s="16"/>
      <c r="C313" s="16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</row>
    <row r="314" spans="1:46" ht="37.049999999999997" customHeight="1" x14ac:dyDescent="0.3">
      <c r="A314" s="16"/>
      <c r="B314" s="16"/>
      <c r="C314" s="16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</row>
    <row r="315" spans="1:46" ht="37.049999999999997" customHeight="1" x14ac:dyDescent="0.3">
      <c r="A315" s="16"/>
      <c r="B315" s="16"/>
      <c r="C315" s="16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</row>
    <row r="316" spans="1:46" ht="37.049999999999997" customHeight="1" x14ac:dyDescent="0.3">
      <c r="A316" s="16"/>
      <c r="B316" s="16"/>
      <c r="C316" s="16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</row>
    <row r="317" spans="1:46" ht="37.049999999999997" customHeight="1" x14ac:dyDescent="0.3">
      <c r="A317" s="16"/>
      <c r="B317" s="16"/>
      <c r="C317" s="16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</row>
    <row r="318" spans="1:46" ht="37.049999999999997" customHeight="1" x14ac:dyDescent="0.3">
      <c r="A318" s="16"/>
      <c r="B318" s="16"/>
      <c r="C318" s="16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</row>
    <row r="319" spans="1:46" ht="37.049999999999997" customHeight="1" x14ac:dyDescent="0.3">
      <c r="A319" s="16"/>
      <c r="B319" s="16"/>
      <c r="C319" s="16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</row>
    <row r="320" spans="1:46" ht="37.049999999999997" customHeight="1" x14ac:dyDescent="0.3">
      <c r="A320" s="16"/>
      <c r="B320" s="16"/>
      <c r="C320" s="16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</row>
    <row r="321" spans="1:46" ht="37.049999999999997" customHeight="1" x14ac:dyDescent="0.3">
      <c r="A321" s="16"/>
      <c r="B321" s="16"/>
      <c r="C321" s="16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</row>
    <row r="322" spans="1:46" ht="37.049999999999997" customHeight="1" x14ac:dyDescent="0.3">
      <c r="A322" s="16"/>
      <c r="B322" s="16"/>
      <c r="C322" s="16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</row>
    <row r="323" spans="1:46" ht="37.049999999999997" customHeight="1" x14ac:dyDescent="0.3">
      <c r="A323" s="16"/>
      <c r="B323" s="16"/>
      <c r="C323" s="16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</row>
    <row r="324" spans="1:46" ht="37.049999999999997" customHeight="1" x14ac:dyDescent="0.3">
      <c r="A324" s="16"/>
      <c r="B324" s="16"/>
      <c r="C324" s="16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</row>
    <row r="325" spans="1:46" ht="37.049999999999997" customHeight="1" x14ac:dyDescent="0.3">
      <c r="A325" s="16"/>
      <c r="B325" s="16"/>
      <c r="C325" s="16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</row>
    <row r="326" spans="1:46" ht="37.049999999999997" customHeight="1" x14ac:dyDescent="0.3">
      <c r="A326" s="16"/>
      <c r="B326" s="16"/>
      <c r="C326" s="16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</row>
    <row r="327" spans="1:46" ht="37.049999999999997" customHeight="1" x14ac:dyDescent="0.3">
      <c r="A327" s="16"/>
      <c r="B327" s="16"/>
      <c r="C327" s="16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</row>
    <row r="328" spans="1:46" ht="37.049999999999997" customHeight="1" x14ac:dyDescent="0.3">
      <c r="A328" s="16"/>
      <c r="B328" s="16"/>
      <c r="C328" s="16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</row>
    <row r="329" spans="1:46" ht="37.049999999999997" customHeight="1" x14ac:dyDescent="0.3">
      <c r="A329" s="16"/>
      <c r="B329" s="16"/>
      <c r="C329" s="16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</row>
    <row r="330" spans="1:46" ht="37.049999999999997" customHeight="1" x14ac:dyDescent="0.3">
      <c r="A330" s="16"/>
      <c r="B330" s="16"/>
      <c r="C330" s="16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</row>
    <row r="331" spans="1:46" ht="37.049999999999997" customHeight="1" x14ac:dyDescent="0.3">
      <c r="A331" s="16"/>
      <c r="B331" s="16"/>
      <c r="C331" s="16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</row>
    <row r="332" spans="1:46" ht="37.049999999999997" customHeight="1" x14ac:dyDescent="0.3">
      <c r="A332" s="16"/>
      <c r="B332" s="16"/>
      <c r="C332" s="16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</row>
    <row r="333" spans="1:46" ht="37.049999999999997" customHeight="1" x14ac:dyDescent="0.3">
      <c r="A333" s="16"/>
      <c r="B333" s="16"/>
      <c r="C333" s="16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</row>
    <row r="334" spans="1:46" ht="37.049999999999997" customHeight="1" x14ac:dyDescent="0.3">
      <c r="A334" s="16"/>
      <c r="B334" s="16"/>
      <c r="C334" s="16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</row>
    <row r="335" spans="1:46" ht="37.049999999999997" customHeight="1" x14ac:dyDescent="0.3">
      <c r="A335" s="16"/>
      <c r="B335" s="16"/>
      <c r="C335" s="16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</row>
    <row r="336" spans="1:46" ht="64.8" customHeight="1" x14ac:dyDescent="0.3">
      <c r="A336" s="16"/>
      <c r="B336" s="16"/>
      <c r="C336" s="16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</row>
    <row r="337" spans="1:46" ht="37.049999999999997" customHeight="1" x14ac:dyDescent="0.3">
      <c r="A337" s="16"/>
      <c r="B337" s="16"/>
      <c r="C337" s="16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</row>
    <row r="338" spans="1:46" ht="37.049999999999997" customHeight="1" x14ac:dyDescent="0.3">
      <c r="A338" s="16"/>
      <c r="B338" s="16"/>
      <c r="C338" s="16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</row>
    <row r="339" spans="1:46" ht="37.049999999999997" customHeight="1" x14ac:dyDescent="0.3">
      <c r="A339" s="16"/>
      <c r="B339" s="16"/>
      <c r="C339" s="16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</row>
    <row r="340" spans="1:46" ht="37.049999999999997" customHeight="1" x14ac:dyDescent="0.3">
      <c r="A340" s="16"/>
      <c r="B340" s="16"/>
      <c r="C340" s="16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</row>
    <row r="341" spans="1:46" ht="37.049999999999997" customHeight="1" x14ac:dyDescent="0.3">
      <c r="A341" s="16"/>
      <c r="B341" s="16"/>
      <c r="C341" s="16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</row>
    <row r="342" spans="1:46" ht="37.049999999999997" customHeight="1" x14ac:dyDescent="0.3">
      <c r="A342" s="16"/>
      <c r="B342" s="16"/>
      <c r="C342" s="16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</row>
    <row r="343" spans="1:46" ht="37.049999999999997" customHeight="1" x14ac:dyDescent="0.3">
      <c r="A343" s="16"/>
      <c r="B343" s="16"/>
      <c r="C343" s="16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</row>
    <row r="344" spans="1:46" ht="37.049999999999997" customHeight="1" x14ac:dyDescent="0.3">
      <c r="A344" s="16"/>
      <c r="B344" s="16"/>
      <c r="C344" s="16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</row>
    <row r="345" spans="1:46" ht="37.049999999999997" customHeight="1" x14ac:dyDescent="0.3">
      <c r="A345" s="16"/>
      <c r="B345" s="16"/>
      <c r="C345" s="16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</row>
    <row r="346" spans="1:46" ht="37.049999999999997" customHeight="1" x14ac:dyDescent="0.3">
      <c r="A346" s="16"/>
      <c r="B346" s="16"/>
      <c r="C346" s="16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</row>
    <row r="347" spans="1:46" ht="37.049999999999997" customHeight="1" x14ac:dyDescent="0.3">
      <c r="A347" s="16"/>
      <c r="B347" s="16"/>
      <c r="C347" s="16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</row>
    <row r="348" spans="1:46" ht="37.049999999999997" customHeight="1" x14ac:dyDescent="0.3">
      <c r="A348" s="16"/>
      <c r="B348" s="16"/>
      <c r="C348" s="16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</row>
    <row r="349" spans="1:46" ht="37.049999999999997" customHeight="1" x14ac:dyDescent="0.3">
      <c r="A349" s="16"/>
      <c r="B349" s="16"/>
      <c r="C349" s="16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</row>
    <row r="350" spans="1:46" ht="37.049999999999997" customHeight="1" x14ac:dyDescent="0.3">
      <c r="A350" s="16"/>
      <c r="B350" s="16"/>
      <c r="C350" s="16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</row>
    <row r="351" spans="1:46" ht="37.049999999999997" customHeight="1" x14ac:dyDescent="0.3">
      <c r="A351" s="16"/>
      <c r="B351" s="16"/>
      <c r="C351" s="16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</row>
    <row r="352" spans="1:46" ht="37.049999999999997" customHeight="1" x14ac:dyDescent="0.3">
      <c r="A352" s="16"/>
      <c r="B352" s="16"/>
      <c r="C352" s="16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</row>
    <row r="353" spans="1:46" ht="37.049999999999997" customHeight="1" x14ac:dyDescent="0.3">
      <c r="A353" s="16"/>
      <c r="B353" s="16"/>
      <c r="C353" s="16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</row>
    <row r="354" spans="1:46" ht="37.049999999999997" customHeight="1" x14ac:dyDescent="0.3">
      <c r="A354" s="16"/>
      <c r="B354" s="16"/>
      <c r="C354" s="16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</row>
    <row r="355" spans="1:46" ht="37.049999999999997" customHeight="1" x14ac:dyDescent="0.3">
      <c r="A355" s="16"/>
      <c r="B355" s="16"/>
      <c r="C355" s="16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</row>
    <row r="356" spans="1:46" ht="37.049999999999997" customHeight="1" x14ac:dyDescent="0.3"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46" ht="37.049999999999997" customHeight="1" x14ac:dyDescent="0.3"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46" ht="37.049999999999997" customHeight="1" x14ac:dyDescent="0.3"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46" ht="37.049999999999997" customHeight="1" x14ac:dyDescent="0.3"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46" ht="37.049999999999997" customHeight="1" x14ac:dyDescent="0.3"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46" ht="37.049999999999997" customHeight="1" x14ac:dyDescent="0.3"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46" ht="37.049999999999997" customHeight="1" x14ac:dyDescent="0.3"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46" ht="37.049999999999997" customHeight="1" x14ac:dyDescent="0.3"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46" ht="37.049999999999997" customHeight="1" x14ac:dyDescent="0.3"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46" ht="37.049999999999997" customHeight="1" x14ac:dyDescent="0.3"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46" ht="37.049999999999997" customHeight="1" x14ac:dyDescent="0.3"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46" ht="37.049999999999997" customHeight="1" x14ac:dyDescent="0.3"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46" ht="37.049999999999997" customHeight="1" x14ac:dyDescent="0.3"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4:21" ht="37.049999999999997" customHeight="1" x14ac:dyDescent="0.3"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4:21" ht="37.049999999999997" customHeight="1" x14ac:dyDescent="0.3"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4:21" ht="37.049999999999997" customHeight="1" x14ac:dyDescent="0.3"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4:21" ht="37.049999999999997" customHeight="1" x14ac:dyDescent="0.3"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4:21" ht="37.049999999999997" customHeight="1" x14ac:dyDescent="0.3"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4:21" ht="37.049999999999997" customHeight="1" x14ac:dyDescent="0.3"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4:21" ht="37.049999999999997" customHeight="1" x14ac:dyDescent="0.3"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4:21" ht="37.049999999999997" customHeight="1" x14ac:dyDescent="0.3"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4:21" ht="37.049999999999997" customHeight="1" x14ac:dyDescent="0.3"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4:21" ht="37.049999999999997" customHeight="1" x14ac:dyDescent="0.3"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4:21" ht="37.049999999999997" customHeight="1" x14ac:dyDescent="0.3"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4:21" ht="37.049999999999997" customHeight="1" x14ac:dyDescent="0.3"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4:21" ht="37.049999999999997" customHeight="1" x14ac:dyDescent="0.3"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4:21" ht="37.049999999999997" customHeight="1" x14ac:dyDescent="0.3"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4:21" ht="37.049999999999997" customHeight="1" x14ac:dyDescent="0.3"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4:21" ht="54" customHeight="1" x14ac:dyDescent="0.3"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46" ht="37.049999999999997" customHeight="1" x14ac:dyDescent="0.3"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46" ht="37.049999999999997" customHeight="1" x14ac:dyDescent="0.3"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46" ht="37.049999999999997" customHeight="1" x14ac:dyDescent="0.3"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46" ht="37.049999999999997" customHeight="1" x14ac:dyDescent="0.3"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46" ht="37.049999999999997" customHeight="1" x14ac:dyDescent="0.3"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46" ht="67.2" customHeight="1" x14ac:dyDescent="0.3"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46" ht="37.049999999999997" customHeight="1" x14ac:dyDescent="0.3"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46" ht="37.049999999999997" customHeight="1" x14ac:dyDescent="0.3">
      <c r="A392" s="16"/>
      <c r="B392" s="16"/>
      <c r="C392" s="16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</row>
  </sheetData>
  <sortState ref="A2:AT123">
    <sortCondition ref="D2:D123"/>
  </sortState>
  <mergeCells count="1">
    <mergeCell ref="C1:U1"/>
  </mergeCells>
  <phoneticPr fontId="18" type="noConversion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1"/>
  <sheetViews>
    <sheetView workbookViewId="0">
      <selection sqref="A1:XFD1"/>
    </sheetView>
  </sheetViews>
  <sheetFormatPr defaultRowHeight="16.2" x14ac:dyDescent="0.3"/>
  <sheetData>
    <row r="1" spans="3:21" s="2" customFormat="1" ht="37.049999999999997" customHeight="1" x14ac:dyDescent="0.3">
      <c r="C1" s="19" t="s">
        <v>3058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</sheetData>
  <mergeCells count="1">
    <mergeCell ref="C1:U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清單</vt:lpstr>
      <vt:lpstr>EB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2019-11-22T01:02:54Z</cp:lastPrinted>
  <dcterms:created xsi:type="dcterms:W3CDTF">2019-10-31T01:59:55Z</dcterms:created>
  <dcterms:modified xsi:type="dcterms:W3CDTF">2019-11-22T01:07:11Z</dcterms:modified>
</cp:coreProperties>
</file>